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sue/Desktop/"/>
    </mc:Choice>
  </mc:AlternateContent>
  <xr:revisionPtr revIDLastSave="0" documentId="13_ncr:1_{9FD800D1-64FB-3947-A8D3-37D5F19212D9}" xr6:coauthVersionLast="47" xr6:coauthVersionMax="47" xr10:uidLastSave="{00000000-0000-0000-0000-000000000000}"/>
  <bookViews>
    <workbookView xWindow="0" yWindow="500" windowWidth="28800" windowHeight="16460" xr2:uid="{64554634-F9D6-4292-9F5E-D4FB5F4B6CC4}"/>
  </bookViews>
  <sheets>
    <sheet name="DataTable - Overall" sheetId="1" r:id="rId1"/>
    <sheet name="EU-Register" sheetId="6" r:id="rId2"/>
    <sheet name="UK-Register" sheetId="7" r:id="rId3"/>
    <sheet name="GER-Register" sheetId="9" r:id="rId4"/>
    <sheet name="FR-Register" sheetId="10" r:id="rId5"/>
    <sheet name="US-Register" sheetId="15" r:id="rId6"/>
    <sheet name="ACTIP-Register" sheetId="13" r:id="rId7"/>
    <sheet name="DK-Register" sheetId="11" r:id="rId8"/>
    <sheet name="NL-Register" sheetId="14" r:id="rId9"/>
    <sheet name="CAN-Register" sheetId="12" r:id="rId10"/>
    <sheet name="Swiss-Register" sheetId="8" r:id="rId11"/>
    <sheet name="Dropdowns" sheetId="5" state="hidden" r:id="rId12"/>
  </sheets>
  <definedNames>
    <definedName name="_xlcn.WorksheetConnection_PMUGrantMappingAnalyticsME.xlsxTable1" hidden="1">Table1[]</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PMU Grant Mapping - Analytics - ME.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1" l="1"/>
  <c r="F24" i="9"/>
  <c r="H24" i="9" s="1"/>
  <c r="E63" i="1"/>
  <c r="E62" i="1"/>
  <c r="E58" i="1"/>
  <c r="E55" i="1"/>
  <c r="E50" i="1"/>
  <c r="F23" i="9"/>
  <c r="H23" i="9" s="1"/>
  <c r="F16" i="9"/>
  <c r="H16" i="9" s="1"/>
  <c r="F17" i="9"/>
  <c r="H17" i="9" s="1"/>
  <c r="F12" i="9"/>
  <c r="H12" i="9" s="1"/>
  <c r="F9" i="9"/>
  <c r="H9" i="9" s="1"/>
  <c r="F4" i="9"/>
  <c r="H4" i="9" s="1"/>
  <c r="F37" i="7" l="1"/>
  <c r="H37" i="7" s="1"/>
  <c r="E45" i="1"/>
  <c r="E9" i="1"/>
  <c r="F8" i="6"/>
  <c r="G8" i="6"/>
  <c r="E27" i="1"/>
  <c r="E5"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51" i="1" l="1"/>
  <c r="E52" i="1"/>
  <c r="E53" i="1"/>
  <c r="E54" i="1"/>
  <c r="E56" i="1"/>
  <c r="E57" i="1"/>
  <c r="E59" i="1"/>
  <c r="E60" i="1"/>
  <c r="E61" i="1"/>
  <c r="E64" i="1"/>
  <c r="E65" i="1"/>
  <c r="E66" i="1"/>
  <c r="E67" i="1"/>
  <c r="E68" i="1"/>
  <c r="E70" i="1"/>
  <c r="E71" i="1"/>
  <c r="E137" i="1"/>
  <c r="E49" i="1" l="1"/>
  <c r="F4" i="7"/>
  <c r="F25" i="9" l="1"/>
  <c r="H25" i="9" s="1"/>
  <c r="E4" i="8"/>
  <c r="E15" i="10"/>
  <c r="F41" i="7"/>
  <c r="F40" i="7"/>
  <c r="F32" i="7"/>
  <c r="F23" i="7"/>
  <c r="F7" i="7"/>
  <c r="F5" i="7"/>
  <c r="H4" i="7"/>
  <c r="E5" i="14" l="1"/>
  <c r="G5" i="14" s="1"/>
  <c r="E4" i="14"/>
  <c r="E4" i="11"/>
  <c r="E11" i="11"/>
  <c r="E10" i="11"/>
  <c r="E8" i="14"/>
  <c r="E6" i="14"/>
  <c r="G6" i="14" s="1"/>
  <c r="E7" i="14"/>
  <c r="E142" i="1" l="1"/>
  <c r="E143" i="1"/>
  <c r="E144" i="1"/>
  <c r="E145" i="1"/>
  <c r="E146" i="1"/>
  <c r="E147" i="1"/>
  <c r="E148" i="1"/>
  <c r="E149" i="1"/>
  <c r="E138" i="1"/>
  <c r="E139" i="1"/>
  <c r="E140" i="1"/>
  <c r="E133" i="1"/>
  <c r="E134" i="1"/>
  <c r="E135" i="1"/>
  <c r="E136" i="1"/>
  <c r="E132" i="1"/>
  <c r="G10" i="11"/>
  <c r="G11" i="11"/>
  <c r="G4" i="11"/>
  <c r="E129" i="1"/>
  <c r="E130" i="1"/>
  <c r="E131" i="1"/>
  <c r="E128" i="1"/>
  <c r="E123" i="1"/>
  <c r="E124" i="1"/>
  <c r="E125" i="1"/>
  <c r="E126" i="1"/>
  <c r="E127" i="1"/>
  <c r="E141" i="1"/>
  <c r="E121" i="1"/>
  <c r="E82" i="1"/>
  <c r="E83" i="1"/>
  <c r="E84" i="1"/>
  <c r="E78" i="1"/>
  <c r="E79" i="1"/>
  <c r="E80" i="1"/>
  <c r="E81" i="1"/>
  <c r="E73" i="1"/>
  <c r="E74" i="1"/>
  <c r="E75" i="1"/>
  <c r="E76" i="1"/>
  <c r="E77" i="1"/>
  <c r="E72" i="1"/>
  <c r="E12" i="1"/>
  <c r="E13" i="1"/>
  <c r="E14" i="1"/>
  <c r="E15" i="1"/>
  <c r="E16" i="1"/>
  <c r="E17" i="1"/>
  <c r="E18" i="1"/>
  <c r="E19" i="1"/>
  <c r="E20" i="1"/>
  <c r="E21" i="1"/>
  <c r="E22" i="1"/>
  <c r="E23" i="1"/>
  <c r="E24" i="1"/>
  <c r="E25" i="1"/>
  <c r="E26" i="1"/>
  <c r="E28" i="1"/>
  <c r="E29" i="1"/>
  <c r="E30" i="1"/>
  <c r="E31" i="1"/>
  <c r="E32" i="1"/>
  <c r="E33" i="1"/>
  <c r="E34" i="1"/>
  <c r="E35" i="1"/>
  <c r="E36" i="1"/>
  <c r="E37" i="1"/>
  <c r="E38" i="1"/>
  <c r="E39" i="1"/>
  <c r="E40" i="1"/>
  <c r="E41" i="1"/>
  <c r="E42" i="1"/>
  <c r="E43" i="1"/>
  <c r="E44" i="1"/>
  <c r="E46" i="1"/>
  <c r="E47" i="1"/>
  <c r="E48" i="1"/>
  <c r="E6" i="1"/>
  <c r="E7" i="1"/>
  <c r="E8" i="1"/>
  <c r="E10" i="1"/>
  <c r="E11" i="1"/>
  <c r="F5" i="13"/>
  <c r="F4" i="13"/>
  <c r="F8" i="12" l="1"/>
  <c r="E7" i="12"/>
  <c r="G7" i="12" s="1"/>
  <c r="E6" i="12"/>
  <c r="G6" i="12" s="1"/>
  <c r="E5" i="12"/>
  <c r="G5" i="12" s="1"/>
  <c r="E4" i="12"/>
  <c r="G4" i="12" s="1"/>
  <c r="F38"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4" i="15"/>
  <c r="E12" i="10" l="1"/>
  <c r="G12" i="10" s="1"/>
  <c r="E13" i="10"/>
  <c r="G13" i="10" s="1"/>
  <c r="E14" i="10"/>
  <c r="G14" i="10" s="1"/>
  <c r="G15" i="10"/>
  <c r="E16" i="10"/>
  <c r="G16" i="10" s="1"/>
  <c r="E5" i="10"/>
  <c r="E6" i="10"/>
  <c r="E7" i="10"/>
  <c r="E8" i="10"/>
  <c r="E9" i="10"/>
  <c r="E10" i="10"/>
  <c r="E11" i="10"/>
  <c r="E4" i="10"/>
  <c r="G4" i="10" s="1"/>
  <c r="G5" i="10" l="1"/>
  <c r="G6" i="10"/>
  <c r="G7" i="10"/>
  <c r="G8" i="10"/>
  <c r="G9" i="10"/>
  <c r="G10" i="10"/>
  <c r="G11" i="10"/>
  <c r="F5" i="9"/>
  <c r="F6" i="9"/>
  <c r="F7" i="9"/>
  <c r="F8" i="9"/>
  <c r="F10" i="9"/>
  <c r="F11" i="9"/>
  <c r="F13" i="9"/>
  <c r="F14" i="9"/>
  <c r="F15" i="9"/>
  <c r="F18" i="9"/>
  <c r="F19" i="9"/>
  <c r="F20" i="9"/>
  <c r="F21" i="9"/>
  <c r="F22" i="9"/>
  <c r="E10" i="6" l="1"/>
  <c r="E9" i="6"/>
  <c r="E7" i="6"/>
  <c r="E6" i="6"/>
  <c r="E5" i="6"/>
  <c r="E4" i="6"/>
  <c r="F9" i="14" l="1"/>
  <c r="G8" i="14"/>
  <c r="G4" i="14"/>
  <c r="G7" i="14"/>
  <c r="F6" i="7"/>
  <c r="G4" i="8" l="1"/>
  <c r="F39" i="15" l="1"/>
  <c r="E39" i="15"/>
  <c r="E5" i="11"/>
  <c r="G5" i="11" s="1"/>
  <c r="E6" i="11"/>
  <c r="G6" i="11" s="1"/>
  <c r="E7" i="11"/>
  <c r="G7" i="11" s="1"/>
  <c r="E8" i="11"/>
  <c r="G8" i="11" s="1"/>
  <c r="E9" i="11"/>
  <c r="G9" i="11" s="1"/>
  <c r="E12" i="11"/>
  <c r="G12" i="11" s="1"/>
  <c r="E13" i="11"/>
  <c r="G13" i="11" s="1"/>
  <c r="F13" i="8" l="1"/>
  <c r="E12" i="8"/>
  <c r="G12" i="8" s="1"/>
  <c r="F11" i="6" l="1"/>
  <c r="H40" i="7" l="1"/>
  <c r="H41" i="7"/>
  <c r="F35" i="7"/>
  <c r="F34" i="7"/>
  <c r="F33" i="7"/>
  <c r="H33" i="7" s="1"/>
  <c r="H32" i="7"/>
  <c r="F31" i="7"/>
  <c r="F30" i="7"/>
  <c r="F29" i="7"/>
  <c r="H29" i="7" s="1"/>
  <c r="F27" i="7"/>
  <c r="H27" i="7" s="1"/>
  <c r="F26" i="7"/>
  <c r="F25" i="7"/>
  <c r="F24" i="7"/>
  <c r="F22" i="7"/>
  <c r="F21" i="7"/>
  <c r="F20" i="7"/>
  <c r="H20" i="7" s="1"/>
  <c r="F19" i="7"/>
  <c r="F18" i="7" l="1"/>
  <c r="F17" i="7"/>
  <c r="F16" i="7"/>
  <c r="F15" i="7" l="1"/>
  <c r="F14" i="7"/>
  <c r="F13" i="7"/>
  <c r="H13" i="7" s="1"/>
  <c r="F12" i="7"/>
  <c r="F11" i="7"/>
  <c r="F10" i="7"/>
  <c r="H10" i="7" s="1"/>
  <c r="F9" i="7"/>
  <c r="F8" i="7"/>
  <c r="H6" i="7"/>
  <c r="F14" i="11" l="1"/>
  <c r="G14" i="11"/>
  <c r="F17" i="10"/>
  <c r="G26" i="9"/>
  <c r="E5" i="8"/>
  <c r="E6" i="8"/>
  <c r="E7" i="8"/>
  <c r="E8" i="8"/>
  <c r="E9" i="8"/>
  <c r="E10" i="8"/>
  <c r="E11" i="8"/>
  <c r="G9" i="14"/>
  <c r="E9" i="14"/>
  <c r="F6" i="13"/>
  <c r="E6" i="13"/>
  <c r="G8" i="12"/>
  <c r="E8" i="12"/>
  <c r="E120" i="1"/>
  <c r="E122" i="1"/>
  <c r="E13" i="8" l="1"/>
  <c r="E14" i="11"/>
  <c r="H5" i="7"/>
  <c r="G10" i="6"/>
  <c r="G9" i="6"/>
  <c r="G7" i="6"/>
  <c r="G6" i="6"/>
  <c r="G5" i="6"/>
  <c r="G4" i="6"/>
  <c r="H5" i="9"/>
  <c r="H6" i="9"/>
  <c r="H7" i="9"/>
  <c r="H8" i="9"/>
  <c r="H10" i="9"/>
  <c r="H11" i="9"/>
  <c r="H13" i="9"/>
  <c r="H14" i="9"/>
  <c r="H15" i="9"/>
  <c r="H18" i="9"/>
  <c r="H19" i="9"/>
  <c r="H20" i="9"/>
  <c r="H21" i="9"/>
  <c r="H22" i="9"/>
  <c r="G11" i="8"/>
  <c r="G5" i="8"/>
  <c r="G6" i="8"/>
  <c r="G7" i="8"/>
  <c r="G8" i="8"/>
  <c r="G9" i="8"/>
  <c r="G10" i="8"/>
  <c r="G17" i="10"/>
  <c r="E17" i="10"/>
  <c r="G11" i="6" l="1"/>
  <c r="G13" i="8"/>
  <c r="F26" i="9"/>
  <c r="H26" i="9"/>
  <c r="H7" i="7"/>
  <c r="H8" i="7"/>
  <c r="H9" i="7"/>
  <c r="H11" i="7"/>
  <c r="H12" i="7"/>
  <c r="H14" i="7"/>
  <c r="H15" i="7"/>
  <c r="H16" i="7"/>
  <c r="H17" i="7"/>
  <c r="H18" i="7"/>
  <c r="H19" i="7"/>
  <c r="H21" i="7"/>
  <c r="H22" i="7"/>
  <c r="H23" i="7"/>
  <c r="H24" i="7"/>
  <c r="H25" i="7"/>
  <c r="H26" i="7"/>
  <c r="H30" i="7"/>
  <c r="H31" i="7"/>
  <c r="H34" i="7"/>
  <c r="H35" i="7"/>
  <c r="E11" i="6"/>
  <c r="D150" i="1" l="1"/>
  <c r="E150" i="1" l="1"/>
  <c r="F28" i="7"/>
  <c r="H28" i="7" l="1"/>
  <c r="G42" i="7" l="1"/>
  <c r="F36" i="7"/>
  <c r="H36" i="7" s="1"/>
  <c r="F39" i="7"/>
  <c r="H39" i="7" s="1"/>
  <c r="F38" i="7"/>
  <c r="H38" i="7" s="1"/>
  <c r="F42" i="7" l="1"/>
  <c r="H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tc={EF776F8F-B24A-F34B-A4BD-123CD1E27B68}</author>
    <author>tc={54CBC95A-3347-C443-B3BB-4BF31750A8AE}</author>
    <author>tc={D97DD1C8-FE74-0340-933A-D061E2068CC8}</author>
    <author>tc={02F9A3B5-991A-0D48-B0B5-6627600D856F}</author>
  </authors>
  <commentList>
    <comment ref="G2" authorId="0" shapeId="0" xr:uid="{EF776F8F-B24A-F34B-A4BD-123CD1E27B68}">
      <text>
        <t>[Threaded comment]
Your version of Excel allows you to read this threaded comment; however, any edits to it will get removed if the file is opened in a newer version of Excel. Learn more: https://go.microsoft.com/fwlink/?linkid=870924
Comment:
    UK; US; France; Germany; EU; ACT-IP</t>
      </text>
    </comment>
    <comment ref="G3" authorId="1" shapeId="0" xr:uid="{54CBC95A-3347-C443-B3BB-4BF31750A8AE}">
      <text>
        <t>[Threaded comment]
Your version of Excel allows you to read this threaded comment; however, any edits to it will get removed if the file is opened in a newer version of Excel. Learn more: https://go.microsoft.com/fwlink/?linkid=870924
Comment:
    Denmark and Netherlands</t>
      </text>
    </comment>
    <comment ref="G4" authorId="2" shapeId="0" xr:uid="{D97DD1C8-FE74-0340-933A-D061E2068CC8}">
      <text>
        <t>[Threaded comment]
Your version of Excel allows you to read this threaded comment; however, any edits to it will get removed if the file is opened in a newer version of Excel. Learn more: https://go.microsoft.com/fwlink/?linkid=870924
Comment:
    Canada and Spain</t>
      </text>
    </comment>
    <comment ref="G5" authorId="3" shapeId="0" xr:uid="{02F9A3B5-991A-0D48-B0B5-6627600D856F}">
      <text>
        <t>[Threaded comment]
Your version of Excel allows you to read this threaded comment; however, any edits to it will get removed if the file is opened in a newer version of Excel. Learn more: https://go.microsoft.com/fwlink/?linkid=870924
Comment:
    World Bank; AfDB; NDB</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557F8D8-02C1-441E-9CB6-59379379A8F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A0330D-BE82-4FB6-8860-FE94EFA56B99}" name="WorksheetConnection_PMU Grant Mapping - Analytics - ME.xlsx!Table1" type="102" refreshedVersion="8" minRefreshableVersion="5">
    <extLst>
      <ext xmlns:x15="http://schemas.microsoft.com/office/spreadsheetml/2010/11/main" uri="{DE250136-89BD-433C-8126-D09CA5730AF9}">
        <x15:connection id="Table1" autoDelete="1">
          <x15:rangePr sourceName="_xlcn.WorksheetConnection_PMUGrantMappingAnalyticsME.xlsxTable1"/>
        </x15:connection>
      </ext>
    </extLst>
  </connection>
</connections>
</file>

<file path=xl/sharedStrings.xml><?xml version="1.0" encoding="utf-8"?>
<sst xmlns="http://schemas.openxmlformats.org/spreadsheetml/2006/main" count="2390" uniqueCount="638">
  <si>
    <t xml:space="preserve">Coal plant decommissioning </t>
  </si>
  <si>
    <t>Funder</t>
  </si>
  <si>
    <t>UK</t>
  </si>
  <si>
    <t>World Bank</t>
  </si>
  <si>
    <t>Boston Consulting Group (BCG)</t>
  </si>
  <si>
    <t>ESKOM</t>
  </si>
  <si>
    <t>GIZ</t>
  </si>
  <si>
    <t>Transmission</t>
  </si>
  <si>
    <t>Deloitte</t>
  </si>
  <si>
    <t xml:space="preserve">Distribution </t>
  </si>
  <si>
    <t>New PV</t>
  </si>
  <si>
    <t>TBD</t>
  </si>
  <si>
    <t xml:space="preserve">New Batteries </t>
  </si>
  <si>
    <t>Council for Scientific and Industrial Research (CSIR)</t>
  </si>
  <si>
    <t xml:space="preserve">UK </t>
  </si>
  <si>
    <t>Electricity Sector</t>
  </si>
  <si>
    <t>Improving infrastructure for development</t>
  </si>
  <si>
    <t>Diversifying local economies</t>
  </si>
  <si>
    <t>University of Cape Town (UCT)</t>
  </si>
  <si>
    <t>Investing in youth</t>
  </si>
  <si>
    <t>South African Institute for International Affairs</t>
  </si>
  <si>
    <t>Policies for post-mining redevelopment</t>
  </si>
  <si>
    <t>Building capacity for success</t>
  </si>
  <si>
    <t>Trade and Industrial Policy Strategies (TIPS)</t>
  </si>
  <si>
    <t>Manufacturing and localising clean energy value chain</t>
  </si>
  <si>
    <t>DAI</t>
  </si>
  <si>
    <t>Piloting social ownership models</t>
  </si>
  <si>
    <t>ICLEI Africa</t>
  </si>
  <si>
    <t> </t>
  </si>
  <si>
    <t>Infra Impact</t>
  </si>
  <si>
    <t>Infrastructure: Distribution maintenance</t>
  </si>
  <si>
    <t>Infrastructure: Electrification backlog</t>
  </si>
  <si>
    <t>Operational: Demand-side management</t>
  </si>
  <si>
    <t>Energy Efficiency &amp; Demand Side Management Programming</t>
  </si>
  <si>
    <t>Lawrence Berkley National Lab (LBNL)</t>
  </si>
  <si>
    <t>Operational: Energy access design</t>
  </si>
  <si>
    <t>Capability and capacity</t>
  </si>
  <si>
    <t>Arup</t>
  </si>
  <si>
    <t>Sustainable Energy Africa</t>
  </si>
  <si>
    <t>Collective planning</t>
  </si>
  <si>
    <t>JET Municipal Integration Support</t>
  </si>
  <si>
    <t>Municipal revenue modelling</t>
  </si>
  <si>
    <t>City of Cape Town</t>
  </si>
  <si>
    <t>Technical assistance</t>
  </si>
  <si>
    <t>GH and Green Ammonia</t>
  </si>
  <si>
    <t xml:space="preserve">Infrastructure </t>
  </si>
  <si>
    <t>Tetra Tech</t>
  </si>
  <si>
    <t>Promotion of Green Hydrogen</t>
  </si>
  <si>
    <t>IDC</t>
  </si>
  <si>
    <t>Skills hub for JET</t>
  </si>
  <si>
    <t>South African Institute of International Affairs (SAIIA)</t>
  </si>
  <si>
    <t>Mobilise PSET funding for JET</t>
  </si>
  <si>
    <t>University of Cape Town</t>
  </si>
  <si>
    <t>South African Universities</t>
  </si>
  <si>
    <t>Various partner organisations at a running basis</t>
  </si>
  <si>
    <t>Winrock International</t>
  </si>
  <si>
    <t>BHC</t>
  </si>
  <si>
    <t xml:space="preserve">Harambee Youth Accelerator </t>
  </si>
  <si>
    <t xml:space="preserve">BHC </t>
  </si>
  <si>
    <t>National Business Initiative (NBI)</t>
  </si>
  <si>
    <t>IIPSA Infrastructure Investment Programme for SA</t>
  </si>
  <si>
    <t>Green bond</t>
  </si>
  <si>
    <t>DBSA</t>
  </si>
  <si>
    <t>Employee of the British High Commission seconded to the Presidential Cimate Commission</t>
  </si>
  <si>
    <t>UK PACT private sector roster of experts</t>
  </si>
  <si>
    <t>Carbon Trust</t>
  </si>
  <si>
    <t>IFC</t>
  </si>
  <si>
    <t>UK (DESNZ)</t>
  </si>
  <si>
    <t>DALRRD</t>
  </si>
  <si>
    <t>Dutch Water Authorities</t>
  </si>
  <si>
    <t>Total ZAR</t>
  </si>
  <si>
    <t>INCA Portfolio Managers</t>
  </si>
  <si>
    <t>KZN Department of Economic Development, Tourism &amp; Environmental Affairs</t>
  </si>
  <si>
    <t>Energy Sector Decarbonisation Pathways to Meet a Net-Zero Emissions Target by 2050 (UK PACT)</t>
  </si>
  <si>
    <t>UK PACT Secondment</t>
  </si>
  <si>
    <t>Energy Secretariat -  UK PACT Skill-share</t>
  </si>
  <si>
    <t>Operationalising Energy Performance Certificates</t>
  </si>
  <si>
    <t>Climate Compatible Growth Facility</t>
  </si>
  <si>
    <t>UK-IFC Market Accelerator for Green Construction (MAGC) Programme – Advisory Services (Technical Assistance)</t>
  </si>
  <si>
    <t>Food and Agriculture partnership</t>
  </si>
  <si>
    <t>Climate Support Programme (CSP4)</t>
  </si>
  <si>
    <t>Green Economy Transformation (GET)</t>
  </si>
  <si>
    <t>Emissions and energy data modelling improvements - support to UCT</t>
  </si>
  <si>
    <t>Cities Support Programme</t>
  </si>
  <si>
    <t>Eco-Industrial Parks Programme</t>
  </si>
  <si>
    <t>Multi-Country Investment Climate Programme</t>
  </si>
  <si>
    <t>UNIDO</t>
  </si>
  <si>
    <t>Eskom</t>
  </si>
  <si>
    <t>DMRE</t>
  </si>
  <si>
    <t>DTIC</t>
  </si>
  <si>
    <t>SA companies funded to promote their products e.g. at Africa Energy Indaba</t>
  </si>
  <si>
    <t>WWF SA, Green Cape, Democracy Works Foundation, Association for Rural Advancement, Social Change Assistance Trust</t>
  </si>
  <si>
    <t>DFFE</t>
  </si>
  <si>
    <t>Steve Tshwete Municipality</t>
  </si>
  <si>
    <t>Green Cape, NBI, TIPS, Yes4Youth, WWF SA</t>
  </si>
  <si>
    <t>eMalahleni and Steve Tshwete Local Municipalities, civil society and trade unions</t>
  </si>
  <si>
    <t>Municipalities</t>
  </si>
  <si>
    <t>Northern Cape Provincial Government</t>
  </si>
  <si>
    <t>Western Cape Province, NBI, NUMSA, Danish Confederation of Industry, Danish Labour Organisation 3F</t>
  </si>
  <si>
    <t>King Sabata Dalindyebo, Matzikama, Ray Nkonyeni and Walter Sisuslu Local Municipalities</t>
  </si>
  <si>
    <t xml:space="preserve">eThekwini Municipality </t>
  </si>
  <si>
    <t>City of Johannesburg</t>
  </si>
  <si>
    <t>DoT, DEFF and Western Cape Provincial Government (year 1) Tshwane, eThekwini and Nelson Mandela Bay Municipalities (year 2)</t>
  </si>
  <si>
    <t>Women, Municipalities</t>
  </si>
  <si>
    <t>DHET</t>
  </si>
  <si>
    <t>The Presidency</t>
  </si>
  <si>
    <t>DFIs (DBSA, AFD and EIB) and municpalities.</t>
  </si>
  <si>
    <t>Presidential Climate Commission</t>
  </si>
  <si>
    <t xml:space="preserve">Department of Science and Innovation (DSI),
South African National Energy Development Institute (SANEDI)
</t>
  </si>
  <si>
    <t>Department of Agriculture, DALRRD, Danish Veterinary and Food Administration</t>
  </si>
  <si>
    <t>Municipalities, DWS, Water agencies</t>
  </si>
  <si>
    <t>Climate Investment Funds - Accelerating Coal Transition Investment Program (CIF-ACT)</t>
  </si>
  <si>
    <t>End Date</t>
  </si>
  <si>
    <t>Start Date</t>
  </si>
  <si>
    <t>USD to ZAR</t>
  </si>
  <si>
    <t>EUR to USD</t>
  </si>
  <si>
    <t>Status - Dynamic</t>
  </si>
  <si>
    <t>Priority Areas (Description)</t>
  </si>
  <si>
    <t>Priority Areas</t>
  </si>
  <si>
    <t>Decommissioning</t>
  </si>
  <si>
    <t>Generation</t>
  </si>
  <si>
    <t>Generation-embedded social ownership</t>
  </si>
  <si>
    <t>Distribution</t>
  </si>
  <si>
    <t>Storage</t>
  </si>
  <si>
    <t>Supply chain</t>
  </si>
  <si>
    <t>Electricity infrastructure</t>
  </si>
  <si>
    <t>Green hydrogen</t>
  </si>
  <si>
    <t>NEVs</t>
  </si>
  <si>
    <t>Skills</t>
  </si>
  <si>
    <t>JT-Mpumalanga</t>
  </si>
  <si>
    <t>Green ammonia</t>
  </si>
  <si>
    <t>Manufacturing</t>
  </si>
  <si>
    <t>Technical Assistance</t>
  </si>
  <si>
    <t>Capacity development / training</t>
  </si>
  <si>
    <t>Studies/research</t>
  </si>
  <si>
    <t>Infrastructure</t>
  </si>
  <si>
    <t>Communication</t>
  </si>
  <si>
    <t>Community organisational development</t>
  </si>
  <si>
    <t>Non-IPG</t>
  </si>
  <si>
    <t>MDBs</t>
  </si>
  <si>
    <t>France</t>
  </si>
  <si>
    <t>Germany</t>
  </si>
  <si>
    <t>Denmark</t>
  </si>
  <si>
    <t>Netherlands</t>
  </si>
  <si>
    <t>Canada</t>
  </si>
  <si>
    <t>Spain</t>
  </si>
  <si>
    <t>AfDB</t>
  </si>
  <si>
    <t>NDB</t>
  </si>
  <si>
    <t>Status (Dynamic)</t>
  </si>
  <si>
    <t>Pledged</t>
  </si>
  <si>
    <t>Implemented</t>
  </si>
  <si>
    <t>Purpose</t>
  </si>
  <si>
    <t>Priority Area</t>
  </si>
  <si>
    <t>Source Group</t>
  </si>
  <si>
    <t>Source</t>
  </si>
  <si>
    <t>Project preparation</t>
  </si>
  <si>
    <t>Electricity sector JT</t>
  </si>
  <si>
    <t>Participatory identification and implementation of just energy transition interventions</t>
  </si>
  <si>
    <t>Indalo Inclusive South Africa</t>
  </si>
  <si>
    <t>Danish Energy Agency</t>
  </si>
  <si>
    <t xml:space="preserve">Ricardo
</t>
  </si>
  <si>
    <t>CamNexus</t>
  </si>
  <si>
    <t>Green Cape</t>
  </si>
  <si>
    <t>Zanedi</t>
  </si>
  <si>
    <t>Multiple partners</t>
  </si>
  <si>
    <t>South African CSOs</t>
  </si>
  <si>
    <t>Centre for Sustainability Transitions (CST): Stellenbosch University</t>
  </si>
  <si>
    <t>National Treasury</t>
  </si>
  <si>
    <t>Nelson Mandela University (NMU)</t>
  </si>
  <si>
    <t>International Youth Foundation (IYF)</t>
  </si>
  <si>
    <t xml:space="preserve">International Development Research Council of Canada (IDRC) </t>
  </si>
  <si>
    <t>International Development Research Council of Canada (IDRC)</t>
  </si>
  <si>
    <t>African Centre for a Green Economy (local partner)</t>
  </si>
  <si>
    <t>International Institute for Sustainable Development (local partner)</t>
  </si>
  <si>
    <t>ACT-IP</t>
  </si>
  <si>
    <t>TBA</t>
  </si>
  <si>
    <t xml:space="preserve">JET Innovation Regions </t>
  </si>
  <si>
    <t>Selected municipalities in MP</t>
  </si>
  <si>
    <t>UK PACT</t>
  </si>
  <si>
    <t>TBC</t>
  </si>
  <si>
    <t>Energy Secretariat -  UK PACT Skill-share Part 2</t>
  </si>
  <si>
    <t>Estimating the health impacts from coal-fired power stations in South Africa</t>
  </si>
  <si>
    <t>SA Medical Research Council</t>
  </si>
  <si>
    <t>Unique ID</t>
  </si>
  <si>
    <t>EU001</t>
  </si>
  <si>
    <t>EU002</t>
  </si>
  <si>
    <t>EU003</t>
  </si>
  <si>
    <t>EU004</t>
  </si>
  <si>
    <t>EU006</t>
  </si>
  <si>
    <t>EU008</t>
  </si>
  <si>
    <t xml:space="preserve">Switzerland </t>
  </si>
  <si>
    <t>UK001</t>
  </si>
  <si>
    <t>SW001</t>
  </si>
  <si>
    <t>SW002</t>
  </si>
  <si>
    <t>SW003</t>
  </si>
  <si>
    <t>SW004</t>
  </si>
  <si>
    <t>SW005</t>
  </si>
  <si>
    <t>UK002</t>
  </si>
  <si>
    <t>UK003</t>
  </si>
  <si>
    <t>UK004</t>
  </si>
  <si>
    <t>UK005</t>
  </si>
  <si>
    <t>UK006</t>
  </si>
  <si>
    <t>UK007</t>
  </si>
  <si>
    <t>UK008</t>
  </si>
  <si>
    <t>UK009</t>
  </si>
  <si>
    <t>UK011</t>
  </si>
  <si>
    <t>UK012</t>
  </si>
  <si>
    <t>UK013</t>
  </si>
  <si>
    <t>UK014</t>
  </si>
  <si>
    <t>UK015</t>
  </si>
  <si>
    <t>UK016</t>
  </si>
  <si>
    <t>UK017</t>
  </si>
  <si>
    <t>UK018</t>
  </si>
  <si>
    <t>UK019</t>
  </si>
  <si>
    <t>UK020</t>
  </si>
  <si>
    <t>UK021</t>
  </si>
  <si>
    <t>UK022</t>
  </si>
  <si>
    <t>UK023</t>
  </si>
  <si>
    <t>UK024</t>
  </si>
  <si>
    <t>UK025</t>
  </si>
  <si>
    <t>UK026</t>
  </si>
  <si>
    <t>UK027</t>
  </si>
  <si>
    <t>UK028</t>
  </si>
  <si>
    <t>UK029</t>
  </si>
  <si>
    <t>UK030</t>
  </si>
  <si>
    <t>UK031</t>
  </si>
  <si>
    <t>UK033</t>
  </si>
  <si>
    <t>UK039</t>
  </si>
  <si>
    <t>UK042</t>
  </si>
  <si>
    <t>GBP to USD</t>
  </si>
  <si>
    <t>GR002</t>
  </si>
  <si>
    <t>GR003</t>
  </si>
  <si>
    <t>GR004</t>
  </si>
  <si>
    <t>GR005</t>
  </si>
  <si>
    <t>GR007</t>
  </si>
  <si>
    <t>GR008</t>
  </si>
  <si>
    <t>GR010</t>
  </si>
  <si>
    <t>GR011</t>
  </si>
  <si>
    <t>GR012</t>
  </si>
  <si>
    <t>GR015</t>
  </si>
  <si>
    <t>GR016</t>
  </si>
  <si>
    <t>GR017</t>
  </si>
  <si>
    <t>GR018</t>
  </si>
  <si>
    <t>GR019</t>
  </si>
  <si>
    <t>SW006</t>
  </si>
  <si>
    <t>SW007</t>
  </si>
  <si>
    <t>SW008</t>
  </si>
  <si>
    <t>FR001</t>
  </si>
  <si>
    <t>FR002</t>
  </si>
  <si>
    <t>FR003</t>
  </si>
  <si>
    <t>FR004</t>
  </si>
  <si>
    <t>FR005</t>
  </si>
  <si>
    <t>FR006</t>
  </si>
  <si>
    <t>FR007</t>
  </si>
  <si>
    <t>FR009</t>
  </si>
  <si>
    <t>CHF to USD</t>
  </si>
  <si>
    <t xml:space="preserve">Total US$ </t>
  </si>
  <si>
    <t>DK001</t>
  </si>
  <si>
    <t>DK002</t>
  </si>
  <si>
    <t>DK003</t>
  </si>
  <si>
    <t>DK004</t>
  </si>
  <si>
    <t>DK005</t>
  </si>
  <si>
    <t>DK006</t>
  </si>
  <si>
    <t>DK008</t>
  </si>
  <si>
    <t>DK009</t>
  </si>
  <si>
    <t>DK010</t>
  </si>
  <si>
    <t>DK011</t>
  </si>
  <si>
    <t>CAN001</t>
  </si>
  <si>
    <t>CAN002</t>
  </si>
  <si>
    <t>CAN003</t>
  </si>
  <si>
    <t>CAN004</t>
  </si>
  <si>
    <t>ACTIP001</t>
  </si>
  <si>
    <t>ACTIP002</t>
  </si>
  <si>
    <t>NL001</t>
  </si>
  <si>
    <t>NL002</t>
  </si>
  <si>
    <t>NL003</t>
  </si>
  <si>
    <t>NL004</t>
  </si>
  <si>
    <t>NL005</t>
  </si>
  <si>
    <t>US001</t>
  </si>
  <si>
    <t>US002</t>
  </si>
  <si>
    <t>US003</t>
  </si>
  <si>
    <t>US004</t>
  </si>
  <si>
    <t>US006</t>
  </si>
  <si>
    <t>US007</t>
  </si>
  <si>
    <t>US008</t>
  </si>
  <si>
    <t>US009</t>
  </si>
  <si>
    <t>US010</t>
  </si>
  <si>
    <t>US011</t>
  </si>
  <si>
    <t>US012</t>
  </si>
  <si>
    <t>US013</t>
  </si>
  <si>
    <t>US014</t>
  </si>
  <si>
    <t>US015</t>
  </si>
  <si>
    <t>US016</t>
  </si>
  <si>
    <t>US017</t>
  </si>
  <si>
    <t>US018</t>
  </si>
  <si>
    <t>US019</t>
  </si>
  <si>
    <t>US020</t>
  </si>
  <si>
    <t>US021</t>
  </si>
  <si>
    <t>US022</t>
  </si>
  <si>
    <t>US023</t>
  </si>
  <si>
    <t>US024</t>
  </si>
  <si>
    <t>US025</t>
  </si>
  <si>
    <t>US026</t>
  </si>
  <si>
    <t>US027</t>
  </si>
  <si>
    <t>US028</t>
  </si>
  <si>
    <t>US029</t>
  </si>
  <si>
    <t>US030</t>
  </si>
  <si>
    <t>US031</t>
  </si>
  <si>
    <t>US032</t>
  </si>
  <si>
    <t>US033</t>
  </si>
  <si>
    <t>US034</t>
  </si>
  <si>
    <t>US035</t>
  </si>
  <si>
    <t>US037</t>
  </si>
  <si>
    <t>CAD - Amount</t>
  </si>
  <si>
    <t>CAD to USD</t>
  </si>
  <si>
    <t>DKK - Amount</t>
  </si>
  <si>
    <t>DKK to USD</t>
  </si>
  <si>
    <t>Euro - Amounts</t>
  </si>
  <si>
    <t>Euro - Amount</t>
  </si>
  <si>
    <t>Implementing Partners</t>
  </si>
  <si>
    <t>UK044</t>
  </si>
  <si>
    <t>UK045</t>
  </si>
  <si>
    <t>UK048</t>
  </si>
  <si>
    <t>UK049</t>
  </si>
  <si>
    <t>Agribusiness investment support for JETP in Mpumalanga</t>
  </si>
  <si>
    <t>Technoserve</t>
  </si>
  <si>
    <t>UK-IFC Market Accelerator for Green Construction (MAGC) Programme - – Capital Investment</t>
  </si>
  <si>
    <t>C. Disbursed to implementor</t>
  </si>
  <si>
    <t>D. Disbursed to project</t>
  </si>
  <si>
    <t>E. Implementation Phase</t>
  </si>
  <si>
    <t>GBP - Amount</t>
  </si>
  <si>
    <t>SW009</t>
  </si>
  <si>
    <t>CHF: Amount</t>
  </si>
  <si>
    <t xml:space="preserve">Local Economic Development </t>
  </si>
  <si>
    <t>Skills development for a green economy</t>
  </si>
  <si>
    <t>Municipal energy management systems</t>
  </si>
  <si>
    <t xml:space="preserve">Sustainable Cities </t>
  </si>
  <si>
    <t xml:space="preserve">A. Planned </t>
  </si>
  <si>
    <t>B. Pledged</t>
  </si>
  <si>
    <t>Supporting local water authorities/municipalities on water management</t>
  </si>
  <si>
    <t>SA-H2 Fund</t>
  </si>
  <si>
    <t>Accelerating the green hydrogen economy</t>
  </si>
  <si>
    <t>Euro: Amount</t>
  </si>
  <si>
    <t>Enabling Environment</t>
  </si>
  <si>
    <t>KfW</t>
  </si>
  <si>
    <t>DMRE, Eskom, NT, SALGA, NERSA, Universities</t>
  </si>
  <si>
    <t>OV; DMRE; NERSA; Eskom; NTCSA; Munics; SALGA, Minister of Electricity; Presidency</t>
  </si>
  <si>
    <t>dtic, CSIR</t>
  </si>
  <si>
    <t>JUST SA Consortium (including Green Cape, NBI, TIPS, Yes4Youth, WWF SA)</t>
  </si>
  <si>
    <t>DMRE; NBI; Presidency; IDC</t>
  </si>
  <si>
    <t>The Presidency, HySA Network, Infrastructure SA, SANEDI, HSRC</t>
  </si>
  <si>
    <t>DHET, TVET colleges, Training providers, industry associations</t>
  </si>
  <si>
    <t>DFFE, municipalities, provinces</t>
  </si>
  <si>
    <t>FR010</t>
  </si>
  <si>
    <t>FR011</t>
  </si>
  <si>
    <t>FR013</t>
  </si>
  <si>
    <t>FR014</t>
  </si>
  <si>
    <t>FR016</t>
  </si>
  <si>
    <t>The role of social policies in the framework for the just transition (focusing Steve Tshwete Local Municipality)</t>
  </si>
  <si>
    <t xml:space="preserve">Revitalisation of Mining Ghost Towns </t>
  </si>
  <si>
    <t>JET Labour Center</t>
  </si>
  <si>
    <t>Public employment programs, just transition and inequality</t>
  </si>
  <si>
    <t>Strengthening the environmental justice movement in South Africa</t>
  </si>
  <si>
    <t>Peta Wolpe and Wendy Annecke</t>
  </si>
  <si>
    <t>Oneworld</t>
  </si>
  <si>
    <t xml:space="preserve">Western Cape Economic Development Partnership </t>
  </si>
  <si>
    <t xml:space="preserve">JET Labour Center through TIPS </t>
  </si>
  <si>
    <t>TIPS</t>
  </si>
  <si>
    <t>Environmental Justice Fund</t>
  </si>
  <si>
    <t>Renewable Energy Skills</t>
  </si>
  <si>
    <t>Just Mpumpalanga</t>
  </si>
  <si>
    <t>Variety</t>
  </si>
  <si>
    <t>Repurposing coal plants and coal mining land</t>
  </si>
  <si>
    <t>All</t>
  </si>
  <si>
    <t>Solar PV, Wind, Batteries</t>
  </si>
  <si>
    <t>Revenue Management</t>
  </si>
  <si>
    <t>Capability and Capacity</t>
  </si>
  <si>
    <t>New Batteries</t>
  </si>
  <si>
    <t>U.S. Department of State, together with NETL, USGS, Eskom, CGS</t>
  </si>
  <si>
    <t>Commercial Law Development Program (CLDP), U.S. Department of Commerce</t>
  </si>
  <si>
    <t>Lions Head Global Partners</t>
  </si>
  <si>
    <t>Deloitte (with Council for Scientific and Industrial Research)</t>
  </si>
  <si>
    <t>Deloitte (Service provider TBD)</t>
  </si>
  <si>
    <t>Deloitte and NARUC</t>
  </si>
  <si>
    <t>VARIETY</t>
  </si>
  <si>
    <t>DMRE Support on Development of a Framework for a Just Transition to a Green Hydrogen Economy</t>
  </si>
  <si>
    <t>Accelerating Women’s Empowerment in Energy (AWEE) project</t>
  </si>
  <si>
    <t>Power Engineers</t>
  </si>
  <si>
    <t>The Webster Group</t>
  </si>
  <si>
    <t>JET IP PMU</t>
  </si>
  <si>
    <t>IPPs needing to evacuate power;RE project developers gaining access to transmission and ability to sell power to private off-takers</t>
  </si>
  <si>
    <t>SALGA,MMSEZ,TBD</t>
  </si>
  <si>
    <t>Kouga, Msukaligwa (Mpamalanga), Emalahleni, and Polokwane TBC</t>
  </si>
  <si>
    <t>SouthSouthNorth Projects (Africa) NPC (local partner)</t>
  </si>
  <si>
    <t xml:space="preserve">Implementation of the Just Transitions Framework </t>
  </si>
  <si>
    <t>To be appointed (TBA)</t>
  </si>
  <si>
    <t>GR021</t>
  </si>
  <si>
    <t>GR022</t>
  </si>
  <si>
    <t>Catalyst Research for Sustainable Kerosene, CARE-o-SENE</t>
  </si>
  <si>
    <t>Greening the production and use of liquefied fuel gas in Southern Africa, Green‐QUEST</t>
  </si>
  <si>
    <t xml:space="preserve">Cities of Johannesburg, Mbombela,
Tshwane, Cape Town and Drakenstein
</t>
  </si>
  <si>
    <t>Responsible land use</t>
  </si>
  <si>
    <r>
      <t>Implementation of the Just Transitions Framework</t>
    </r>
    <r>
      <rPr>
        <sz val="11"/>
        <color rgb="FF0070C0"/>
        <rFont val="Calibri"/>
        <family val="2"/>
        <scheme val="minor"/>
      </rPr>
      <t xml:space="preserve"> </t>
    </r>
  </si>
  <si>
    <t>Original IPG</t>
  </si>
  <si>
    <t xml:space="preserve">US Dept of Energy's National Labs </t>
  </si>
  <si>
    <t>Helmholtz‐Zentrum Berlin; Helmholtz‐Zentrum Berlin; Forschungszentrum Jülich GmbH; University of Cape Town; Nelson Mandela University; Council for Scientific &amp; Industrial Research (CSIR); Hydrogen Energy Applications (Pty) Ltd (HYENA)
Associated partners: 
Sasol Ltd; SHV Energy N.V.</t>
  </si>
  <si>
    <t>Development of catalysts in the Fischer-Tropsch process (FT). These FT catalysts play a key role in the large-scale production of green kerosene. With the help of optimized catalysts, sustainable aircraft fuels, so-called Sustainable Aviation Fuels (SAF), can be produced more efficiently.</t>
  </si>
  <si>
    <t>Developing Green-LFG value chain.  Converting captured CO2, water and renewable energy into synthesis gas and green liquid gas is improved.</t>
  </si>
  <si>
    <t>IPG</t>
  </si>
  <si>
    <t>EU005</t>
  </si>
  <si>
    <r>
      <rPr>
        <u/>
        <sz val="11"/>
        <color rgb="FF0070C0"/>
        <rFont val="Calibri (Body)"/>
      </rPr>
      <t>ESMAP (Energy Sector Management Assistance Program)</t>
    </r>
    <r>
      <rPr>
        <sz val="11"/>
        <color rgb="FF0070C0"/>
        <rFont val="Calibri"/>
        <family val="2"/>
        <scheme val="minor"/>
      </rPr>
      <t>: Energy Sector Management Assistance Programme (ESMAP) to support the decommissioning of coal-fired power plants in SA. This project supports the Government of South Africa and Eskom to scope the technical, economic, environmental, and social practicalities of closing and/or repurposing coal-fired power plants. The objective is to strengthen the environmental and social technical readiness of decommissioning coal-fired power stations in South Africa.</t>
    </r>
  </si>
  <si>
    <r>
      <rPr>
        <u/>
        <sz val="11"/>
        <color rgb="FF0070C0"/>
        <rFont val="Calibri (Body)"/>
      </rPr>
      <t>South Africa Programmatic Advisory Services and Analytics  (supported through ESMAP)</t>
    </r>
    <r>
      <rPr>
        <sz val="11"/>
        <color rgb="FF0070C0"/>
        <rFont val="Calibri"/>
        <family val="2"/>
        <scheme val="minor"/>
      </rPr>
      <t xml:space="preserve">: The second ESMAP programme establishes the provision of Advisory Services and Analytics (including and advisory board) activities for South Africa. </t>
    </r>
  </si>
  <si>
    <r>
      <rPr>
        <u/>
        <sz val="11"/>
        <color rgb="FF0070C0"/>
        <rFont val="Calibri (Body)"/>
      </rPr>
      <t>City of Cape Town grid regulation - UK PACT Skill-share</t>
    </r>
    <r>
      <rPr>
        <sz val="11"/>
        <color rgb="FF0070C0"/>
        <rFont val="Calibri"/>
        <family val="2"/>
        <scheme val="minor"/>
      </rPr>
      <t>: Skill-share TA to support the City of Cape Town with the integration of small scale embedded generation onto their grids including support for design standard of networks, embedded generation impact studies, and assistance on financing mechanisms and funding models.</t>
    </r>
  </si>
  <si>
    <r>
      <rPr>
        <u/>
        <sz val="11"/>
        <color rgb="FF0070C0"/>
        <rFont val="Calibri (Body)"/>
      </rPr>
      <t>Energy Storage Partnership (supported through ESMAP)</t>
    </r>
    <r>
      <rPr>
        <sz val="11"/>
        <color rgb="FF0070C0"/>
        <rFont val="Calibri"/>
        <family val="2"/>
        <scheme val="minor"/>
      </rPr>
      <t>: The  Energy Storage Partnership through the third ESMAP is developing a global Network of Energy Storage Testbeds (NESTs) to address the significant and unique barriers facing developing nations in accessing the benefits of energy storage systems.</t>
    </r>
  </si>
  <si>
    <r>
      <rPr>
        <u/>
        <sz val="11"/>
        <color rgb="FF0070C0"/>
        <rFont val="Calibri (Body)"/>
      </rPr>
      <t>Energy One Stop Shop - UK PACT Skill-share</t>
    </r>
    <r>
      <rPr>
        <sz val="11"/>
        <color rgb="FF0070C0"/>
        <rFont val="Calibri"/>
        <family val="2"/>
        <scheme val="minor"/>
      </rPr>
      <t xml:space="preserve">: Supporting the development of an efficient streamlined system through process mapping of regulation approval requirements for new energy generation projects. This will accelerate the approval/certification process of more renewable energy projects adding capacity to the grid. </t>
    </r>
  </si>
  <si>
    <r>
      <rPr>
        <u/>
        <sz val="11"/>
        <color rgb="FF0070C0"/>
        <rFont val="Calibri (Body)"/>
      </rPr>
      <t>Mapping Mitigation and Adaptation Pathways for a JET - Support for Sector Job Resilience Planning (UK PACT)</t>
    </r>
    <r>
      <rPr>
        <sz val="11"/>
        <color rgb="FF0070C0"/>
        <rFont val="Calibri"/>
        <family val="2"/>
        <scheme val="minor"/>
      </rPr>
      <t xml:space="preserve">: The National Employment Vulnerability Assessment (NEVA) conducted by the DFFE and DTIC, identified a number of sectors/value chains as being vulnerable to climate change or that will be impacted by the just transition. In each of these sectors the NEVA identified a number of initiatives (particularly within the coal value-chain) with real job creation potential that need capacity and technical support to build into bankable opportunities. This project developed implementable business cases for a number of these initiatives. The respective business cases are for pilots in Mpumalanga including: Just Transition social protection; coal waste beneficiation; biomass from invasive plant species feasibility; and warning systems and tools to ensure energy and food security.
</t>
    </r>
  </si>
  <si>
    <r>
      <rPr>
        <u/>
        <sz val="11"/>
        <color rgb="FF0070C0"/>
        <rFont val="Calibri (Body)"/>
      </rPr>
      <t>Just Transition Pathways Project (UK PACT)</t>
    </r>
    <r>
      <rPr>
        <sz val="11"/>
        <color rgb="FF0070C0"/>
        <rFont val="Calibri"/>
        <family val="2"/>
        <scheme val="minor"/>
      </rPr>
      <t xml:space="preserve">: The project identified pathways for the private sector to contribute to both an accelerated low carbon transition and just transition.  It provided detailed key sectoral modelling and analysis of the technical and socio-economic benefits of rapid low carbon expansion and the impact on macroeconomic factors such as economic growth, employment </t>
    </r>
  </si>
  <si>
    <r>
      <rPr>
        <u/>
        <sz val="11"/>
        <color rgb="FF0070C0"/>
        <rFont val="Calibri (Body)"/>
      </rPr>
      <t>The UK funded Climate Finance Accelerator (CFA)</t>
    </r>
    <r>
      <rPr>
        <sz val="11"/>
        <color rgb="FF0070C0"/>
        <rFont val="Calibri"/>
        <family val="2"/>
        <scheme val="minor"/>
      </rPr>
      <t xml:space="preserve">: Gives capacity building support to low carbon businesses and projects in agriculture, forestry, energy, transport, circular economy and water sectors; putting them in the best position to attract investment from financiers. Everlectric, Hohm Energy and Wetility are three of the successful projects from South Africa following the first phase of CFA. </t>
    </r>
  </si>
  <si>
    <r>
      <rPr>
        <u/>
        <sz val="11"/>
        <color rgb="FF0070C0"/>
        <rFont val="Calibri (Body)"/>
      </rPr>
      <t>Development of a Green Economy Cluster Organisation to Support Mpumalanga’s Role in the Validation, Implementation and Follow-on Research of the South African Renewable Energy Masterplan (SAREM) (UK PACT)</t>
    </r>
    <r>
      <rPr>
        <sz val="11"/>
        <color rgb="FF0070C0"/>
        <rFont val="Calibri"/>
        <family val="2"/>
        <scheme val="minor"/>
      </rPr>
      <t>: This project builds more substantively on ongoing work related to the development of the South African Renewable Energy Masterplan (SAREM). It draws on the success that GreenCape has achieved as the Western Cape’s green economy cluster organisation by helping to establish a similar green economy cluster organisation in Mpumalanga (launched in 2022). The newly established green economy cluster organisation will work on practical opportunities to support the research behind the SAREM, making a significant contribution to creating green economy jobs and investment opportunities as part of the implementation of SAREM.</t>
    </r>
  </si>
  <si>
    <r>
      <rPr>
        <u/>
        <sz val="11"/>
        <color rgb="FF0070C0"/>
        <rFont val="Calibri (Body)"/>
      </rPr>
      <t>Distilling the Just Energy Transition in South Africa: Harmonising Conflict and Seeking Opportunities (UK PACT)</t>
    </r>
    <r>
      <rPr>
        <sz val="11"/>
        <color rgb="FF0070C0"/>
        <rFont val="Calibri"/>
        <family val="2"/>
        <scheme val="minor"/>
      </rPr>
      <t xml:space="preserve">: The project focused on the two most coal-dependant municipalities in Mpumalanga (eMalahleni and Steve Tshwete) to identify economic diversification activities that the municipalities can develop, in conjunction with the local communities to promote job creation within the local economies. </t>
    </r>
  </si>
  <si>
    <r>
      <rPr>
        <u/>
        <sz val="11"/>
        <color rgb="FF0070C0"/>
        <rFont val="Calibri (Body)"/>
      </rPr>
      <t>Trade Forward Southern Africa (TFSA)</t>
    </r>
    <r>
      <rPr>
        <sz val="11"/>
        <color rgb="FF0070C0"/>
        <rFont val="Calibri"/>
        <family val="2"/>
        <scheme val="minor"/>
      </rPr>
      <t xml:space="preserve">: Information, capacity building and support to South African renewable energy and greentech products to promote their products, and access new markets through addressing no-tarriff barriers to trade and supporting market linkages. Overarching work seeks to promote SOuthern african renewable and greentech companies and industry as growing and attaractive sector for investment. </t>
    </r>
  </si>
  <si>
    <r>
      <rPr>
        <u/>
        <sz val="11"/>
        <color rgb="FF0070C0"/>
        <rFont val="Calibri (Body)"/>
      </rPr>
      <t>Northern Cape Sustainable Energy Sector Support (Northern Cape SESS)</t>
    </r>
    <r>
      <rPr>
        <sz val="11"/>
        <color rgb="FF0070C0"/>
        <rFont val="Calibri"/>
        <family val="2"/>
        <scheme val="minor"/>
      </rPr>
      <t xml:space="preserve">: The Sustainable Energy Sector Support (SESS) project builds a foundation for a sustainable energy transition within the Northern Cape and more broadly the green economy sector, for Small, Medium and Micro Enterprises to thrive. The SESS project will work with the Northern Cape Provincial Government to create an enabling environment for the creation of a small-scale sustainable energy industry via enhanced stakeholder networks, co-development and deployment of relevant knowledge products and training for the local sustainable energy sector to develop. </t>
    </r>
  </si>
  <si>
    <r>
      <rPr>
        <u/>
        <sz val="11"/>
        <color rgb="FF0070C0"/>
        <rFont val="Calibri (Body)"/>
      </rPr>
      <t>Alternative Financing Models for Embedded Generation of Renewable Energy in South African Municipalities (UK PACT)</t>
    </r>
    <r>
      <rPr>
        <sz val="11"/>
        <color rgb="FF0070C0"/>
        <rFont val="Calibri"/>
        <family val="2"/>
        <scheme val="minor"/>
      </rPr>
      <t xml:space="preserve">: The project developed alternative finance models for embedded generation projects within secondary municipalities and built capacity within these municipalities to enable pre-feasibility studies for embedded generation projects that could ultimately be developed through the technical and financial support of the DBSA and Green Climate Fund’s ~R4bn Embedded Generation Investment Programme (EGIP).  </t>
    </r>
  </si>
  <si>
    <r>
      <rPr>
        <u/>
        <sz val="11"/>
        <color rgb="FF0070C0"/>
        <rFont val="Calibri (Body)"/>
      </rPr>
      <t>eThekwini Regional Hydrogen Economy Study  (UK PACT)</t>
    </r>
    <r>
      <rPr>
        <sz val="11"/>
        <color rgb="FF0070C0"/>
        <rFont val="Calibri"/>
        <family val="2"/>
        <scheme val="minor"/>
      </rPr>
      <t>: This project assessed the feasibility and pathway for establishing a hydrogen economy in eThekwini Metropolitan Municipality. The completed study, launched by the Mayor of eThekwini in March 2023, included a combination of literature reviews, trend analysis and engagements with various eThekwini Municipality departments and stakeholders. It focussed on the production of hydrogen, distribution and storage, and consumption in the transport sector and large energy and power industries. The study explored the potential role of hydrogen in storing intermittent renewable energy thereby accelerating its deployment.</t>
    </r>
  </si>
  <si>
    <r>
      <rPr>
        <u/>
        <sz val="11"/>
        <color rgb="FF0070C0"/>
        <rFont val="Calibri (Body)"/>
      </rPr>
      <t>City of Johannesburg Climate Action Plan Implementation Tracking  (UK PACT</t>
    </r>
    <r>
      <rPr>
        <sz val="11"/>
        <color rgb="FF0070C0"/>
        <rFont val="Calibri"/>
        <family val="2"/>
        <scheme val="minor"/>
      </rPr>
      <t>): This project will support the City of Johannesburg to establish the necessary data tools to bring civil society, business and other organisations into the process of monitoring the implementation of the City’s Climate Action Plan (CAP). The project will also explore new tools to reduce emissions through embedded generation support, net-zero building and land mapping for climate adaptation.</t>
    </r>
  </si>
  <si>
    <r>
      <rPr>
        <u/>
        <sz val="11"/>
        <color rgb="FF0070C0"/>
        <rFont val="Calibri (Body)"/>
      </rPr>
      <t>Urban Climate Action Programme (UCAP)</t>
    </r>
    <r>
      <rPr>
        <sz val="11"/>
        <color rgb="FF0070C0"/>
        <rFont val="Calibri"/>
        <family val="2"/>
        <scheme val="minor"/>
      </rPr>
      <t>: Supporting key cities to implement and embed their net-zero climate action plans through their membership to the C40 Cities network. The Cities Finance Facility (CFF) is a multi-donor project preparation facility for low-carbon infrastructure which includes Cape Town and Drakenstein.</t>
    </r>
  </si>
  <si>
    <r>
      <rPr>
        <u/>
        <sz val="11"/>
        <color rgb="FF0070C0"/>
        <rFont val="Calibri (Body)"/>
      </rPr>
      <t>Supporting the Effective Integration of Resilience Building, Alternative Service Delivery Approaches and Climate Change Adaptation and Mitigation into the Implementation of the City of Cape Town’s Infrastructure Planning and Delivery Framework (IPDF) (UK PACT)</t>
    </r>
    <r>
      <rPr>
        <sz val="11"/>
        <color rgb="FF0070C0"/>
        <rFont val="Calibri"/>
        <family val="2"/>
        <scheme val="minor"/>
      </rPr>
      <t xml:space="preserve">: This project will assist with the evaluation of the City’s Infrastructure portfolio in order to understand the opportunities for City infrastructure planning and investment to respond to the environmental, social and economic risks associated with climate change. </t>
    </r>
  </si>
  <si>
    <r>
      <rPr>
        <u/>
        <sz val="11"/>
        <color rgb="FF0070C0"/>
        <rFont val="Calibri (Body)"/>
      </rPr>
      <t>Shifting the Transport Paradigm – Electric Vehicles</t>
    </r>
    <r>
      <rPr>
        <sz val="11"/>
        <color rgb="FF0070C0"/>
        <rFont val="Calibri"/>
        <family val="2"/>
        <scheme val="minor"/>
      </rPr>
      <t>: The project built capacity, knowledge and information sharing at a national and local government level to promote electric vehicles (EVs) in line with the Department of Transport’s (DoT) Green Transport Strategy and promoted the uptake of and the development of the EV industry in South Africa.</t>
    </r>
  </si>
  <si>
    <r>
      <rPr>
        <u/>
        <sz val="11"/>
        <color theme="1"/>
        <rFont val="Calibri (Body)"/>
      </rPr>
      <t>Activities</t>
    </r>
    <r>
      <rPr>
        <sz val="11"/>
        <color theme="1"/>
        <rFont val="Calibri"/>
        <family val="2"/>
        <scheme val="minor"/>
      </rPr>
      <t xml:space="preserve"> &amp; Detailed Descriptions </t>
    </r>
  </si>
  <si>
    <r>
      <rPr>
        <u/>
        <sz val="11"/>
        <color rgb="FF0070C0"/>
        <rFont val="Calibri (Body)"/>
      </rPr>
      <t>Electric Vehicle Readiness in City of Johannesburg</t>
    </r>
    <r>
      <rPr>
        <sz val="11"/>
        <color rgb="FF0070C0"/>
        <rFont val="Calibri"/>
        <family val="2"/>
        <scheme val="minor"/>
      </rPr>
      <t>: The project built the capacity of City of Johannesburg officials to make them EV ready, by building a deep understanding of the technical abilities of the city to plan for an EV future in terms of the provision of infrastructure and the setting of fair, yet attractive tariffs.</t>
    </r>
  </si>
  <si>
    <r>
      <rPr>
        <u/>
        <sz val="11"/>
        <color rgb="FF0070C0"/>
        <rFont val="Calibri (Body)"/>
      </rPr>
      <t>Clean Energy Innovation Facility (CEIF) - project for Green Ammonia production in South Africa</t>
    </r>
    <r>
      <rPr>
        <sz val="11"/>
        <color rgb="FF0070C0"/>
        <rFont val="Calibri"/>
        <family val="2"/>
        <scheme val="minor"/>
      </rPr>
      <t>: CEIF supported the decarbonisation of South Africa's industrial sector through piloting green ammonia production using green hydrogen.</t>
    </r>
  </si>
  <si>
    <r>
      <rPr>
        <u/>
        <sz val="11"/>
        <color rgb="FF0070C0"/>
        <rFont val="Calibri (Body)"/>
      </rPr>
      <t>Building the Green Hydrogen Economy Just Energy Transition</t>
    </r>
    <r>
      <rPr>
        <sz val="11"/>
        <color rgb="FF0070C0"/>
        <rFont val="Calibri"/>
        <family val="2"/>
        <scheme val="minor"/>
      </rPr>
      <t xml:space="preserve">: Co-creating a Just Labour Transition through the TVET College System in South Africa (UK PACT). The project fed into a specific component of the Hydrogen Society Roadmap which involves assessing the skills needed for transitioning to a green hydrogen economy in South Africa, with a particular focus on how to position the technical and vocational education and training (TVET) college system to supply high-quality skills to meet the future GHE requirements. </t>
    </r>
  </si>
  <si>
    <r>
      <rPr>
        <u/>
        <sz val="11"/>
        <color rgb="FF0070C0"/>
        <rFont val="Calibri (Body)"/>
      </rPr>
      <t>High Gear</t>
    </r>
    <r>
      <rPr>
        <sz val="11"/>
        <color rgb="FF0070C0"/>
        <rFont val="Calibri"/>
        <family val="2"/>
        <scheme val="minor"/>
      </rPr>
      <t>: Development of an NEV study to identify priority EV competencies necessary to support the growth and functioning of EV manufacturing and servicing sectors to enable more TVET graduates to enter the emerging industry</t>
    </r>
  </si>
  <si>
    <r>
      <rPr>
        <u/>
        <sz val="11"/>
        <color rgb="FF0070C0"/>
        <rFont val="Calibri (Body)"/>
      </rPr>
      <t>Green Skills in IRM</t>
    </r>
    <r>
      <rPr>
        <sz val="11"/>
        <color rgb="FF0070C0"/>
        <rFont val="Calibri"/>
        <family val="2"/>
        <scheme val="minor"/>
      </rPr>
      <t>: 100 beneficiaries (IOPSA plumbing training graduates) provided with green skills training (solar geyser installations and  for improved employment and earning prospects. 100 beneficiaries (IOPSA graduates) provided with green skills training (solar pump installations and  for improved employment and earning prospects.</t>
    </r>
  </si>
  <si>
    <r>
      <rPr>
        <u/>
        <sz val="11"/>
        <color rgb="FF0070C0"/>
        <rFont val="Calibri (Body)"/>
      </rPr>
      <t>Energy planning and efficency</t>
    </r>
    <r>
      <rPr>
        <sz val="11"/>
        <color rgb="FF0070C0"/>
        <rFont val="Calibri"/>
        <family val="2"/>
        <scheme val="minor"/>
      </rPr>
      <t xml:space="preserve">: This project sets out the key business as usual and decarbonisation scenarios for the energy sector focusing on electricity, petroleum and transport sectors to meet the net zero emissions target by 2050 consistent with the Paris Agreement.  It also undertakes modelling analysis to examine the overall environmental, economic and social impacts of the different pathways.  </t>
    </r>
  </si>
  <si>
    <r>
      <rPr>
        <u/>
        <sz val="11"/>
        <color rgb="FF0070C0"/>
        <rFont val="Calibri (Body)"/>
      </rPr>
      <t>Support to PCC</t>
    </r>
    <r>
      <rPr>
        <sz val="11"/>
        <color rgb="FF0070C0"/>
        <rFont val="Calibri"/>
        <family val="2"/>
        <scheme val="minor"/>
      </rPr>
      <t xml:space="preserve"> on key projects for JETP including UK-SA institutions (UCT with Imperial, Oxford, Cambridge, Loughborough) </t>
    </r>
  </si>
  <si>
    <r>
      <rPr>
        <u/>
        <sz val="11"/>
        <color rgb="FF0070C0"/>
        <rFont val="Calibri (Body)"/>
      </rPr>
      <t>Advisory services in South Africa fall into three broad areas:</t>
    </r>
    <r>
      <rPr>
        <sz val="11"/>
        <color rgb="FF0070C0"/>
        <rFont val="Calibri"/>
        <family val="2"/>
        <scheme val="minor"/>
      </rPr>
      <t xml:space="preserve"> 1. providing technical assistance including building the knowledge and skills base of the industries and governments in the supported countries, 2. improvement and enhancement of IFC’s EDGE building standards, 3. Research,  building evidence by quantifying the financial and emissions case for this demonstration portfolio of buildings to drive wider uptake.</t>
    </r>
  </si>
  <si>
    <r>
      <rPr>
        <u/>
        <sz val="11"/>
        <color rgb="FF0070C0"/>
        <rFont val="Calibri (Body)"/>
      </rPr>
      <t>Support to UCT</t>
    </r>
    <r>
      <rPr>
        <sz val="11"/>
        <color rgb="FF0070C0"/>
        <rFont val="Calibri"/>
        <family val="2"/>
        <scheme val="minor"/>
      </rPr>
      <t>: Improving the quality and usability modelling data for energy planning and emissions, including staff to answer queries and potential training of relevant public bodies on emissions modelling</t>
    </r>
  </si>
  <si>
    <r>
      <rPr>
        <u/>
        <sz val="11"/>
        <color rgb="FF0070C0"/>
        <rFont val="Calibri (Body)"/>
      </rPr>
      <t>Project pipeline development</t>
    </r>
    <r>
      <rPr>
        <sz val="11"/>
        <color rgb="FF0070C0"/>
        <rFont val="Calibri"/>
        <family val="2"/>
        <scheme val="minor"/>
      </rPr>
      <t>: Identification, verification and vetting of municipal projects to enable development partners to deploy JETP funding</t>
    </r>
  </si>
  <si>
    <r>
      <rPr>
        <u/>
        <sz val="11"/>
        <color rgb="FF0070C0"/>
        <rFont val="Calibri (Body)"/>
      </rPr>
      <t>Strategic mangement of key energy and  GH2 focused research, development and innovation (RDI) programmes in South Africa</t>
    </r>
    <r>
      <rPr>
        <sz val="11"/>
        <color rgb="FF0070C0"/>
        <rFont val="Calibri"/>
        <family val="2"/>
        <scheme val="minor"/>
      </rPr>
      <t>: Supporting the set up and design of the Energy Secretariat (embedded in SANEDI). This skill-share will provide organisational design and MEL support to the counterpart organisations in relation to the roles and responsibilities of the Secretariat. It should be noted that the Secretariat, as an institution, has not yet been established and resourced, hence a significant portion of this skills share support will focus on providing organisational design support.</t>
    </r>
  </si>
  <si>
    <r>
      <rPr>
        <u/>
        <sz val="11"/>
        <color rgb="FF0070C0"/>
        <rFont val="Calibri (Body)"/>
      </rPr>
      <t>To document the literature on the health impacts of coal-fired power stations globally and specifically for South Africa</t>
    </r>
    <r>
      <rPr>
        <sz val="11"/>
        <color rgb="FF0070C0"/>
        <rFont val="Calibri"/>
        <family val="2"/>
        <scheme val="minor"/>
      </rPr>
      <t>, and to estimate mortality (and possibly morbidity) risks in the districts where the coal-fired power stations are located compared to districts where no coal-fired power stations are located.</t>
    </r>
  </si>
  <si>
    <r>
      <rPr>
        <u/>
        <sz val="11"/>
        <color rgb="FF0070C0"/>
        <rFont val="Calibri (Body)"/>
      </rPr>
      <t>Agribusiness investment falls under the UK commitment to JETP (economic diversification/’just’ agenda</t>
    </r>
    <r>
      <rPr>
        <sz val="11"/>
        <color rgb="FF0070C0"/>
        <rFont val="Calibri"/>
        <family val="2"/>
        <scheme val="minor"/>
      </rPr>
      <t xml:space="preserve">): Agribusiness investors require pipeline sourcing/generation support to go beyond the large-scale investments currently visible to them, to find new climate-friendly agriculture opportunities, AND/OR to work with their existing investees to drive greater inclusion in their supply chains. To further ‘just’ agribusiness investment, this project will (a) identify which among its existing investment partners, or new ones within the JETP network, have either existing agri investments in SA or plans to expand investment and (b) provide technical assistance either to potential investee companies (to get them closer to bankability) or existing investee companies (to better drive job creation and small farmer inclusion). </t>
    </r>
  </si>
  <si>
    <r>
      <rPr>
        <u/>
        <sz val="11"/>
        <color rgb="FF0070C0"/>
        <rFont val="Calibri (Body)"/>
      </rPr>
      <t>Cities in SA are critical to economic development and just transition through effective land-use planning, increased investment, and urban governance</t>
    </r>
    <r>
      <rPr>
        <sz val="11"/>
        <color rgb="FF0070C0"/>
        <rFont val="Calibri"/>
        <family val="2"/>
        <scheme val="minor"/>
      </rPr>
      <t>: Most SA cities, especially secondary cities, have jurisdiction over private, public and traditional land with potential for investment in energy, transport, agriculture, bulk infrastructure, manufacturing, and tourism. However, cities lack capacity to apply land rights related principles and land-use planning methodologies, are unfamiliar with land-use financing options and tools, and require assistance identifying viable opportunities for benefit-sharing with local communities. To promote more effective land-use investment, this project will include TA to local governments on (a) land-based financing – opportunities for land revenues to be reinvested in local economic development, (b) identification and preparation of strategic projects for green economy – including energy, tourism, and green SMEs, and (c) community engagement for benefit-sharing.</t>
    </r>
  </si>
  <si>
    <r>
      <rPr>
        <u/>
        <sz val="11"/>
        <color rgb="FF0070C0"/>
        <rFont val="Calibri (Body)"/>
      </rPr>
      <t>MAGC will provide a Performance Based Incentive (PBI), for pre-agreed eligibility criteria, that will partly offset greening and EDGE certification costs for developers</t>
    </r>
    <r>
      <rPr>
        <sz val="11"/>
        <color rgb="FF0070C0"/>
        <rFont val="Calibri"/>
        <family val="2"/>
        <scheme val="minor"/>
      </rPr>
      <t>: The proceeds from IFC’s loan are fully earmarked for EDGE-certified residential housing developments, including in the affordable housing segment.This first MAGC investment will support Business Partners Limited, a South African non-banking financing entity specialised in loans and mentorship for SMEs to advance energy efficiency initiatives in South Africa. The deal provides financing for a 5-year loan aiming to build 90 Excellence in Design for Greater Efficiencies, (EDGE) certified buildings and will also provide a customised advisory service programme to support the green building capacity for staff and external construction stakeholders.</t>
    </r>
  </si>
  <si>
    <r>
      <rPr>
        <u/>
        <sz val="11"/>
        <color rgb="FF0070C0"/>
        <rFont val="Calibri (Body)"/>
      </rPr>
      <t>IFC will provide advisory services in South Africa in line with the aims of the MAGC program</t>
    </r>
    <r>
      <rPr>
        <sz val="11"/>
        <color rgb="FF0070C0"/>
        <rFont val="Calibri"/>
        <family val="2"/>
        <scheme val="minor"/>
      </rPr>
      <t>: This second MAGC investment in South Africa provides Nedbank with a US$31.1m IFC investment for financing EDGE-certified residential housing developments. The bond will enable a significant increase in EDGE-certified green residential developments in South Africa, 75% of which is targeted to be affordable housing on a best efforts basis. Scaling up green building financing, particularly in the residential sector, is critical to support the decarbonisation of South Africa’s energy sector while contributing to economic recovery and addressing the large housing deficit in the country. An advisory Services project will run alongside the investment, providing the bank EDGE-tool training and green building certification support, and support the bank in integrating EDGE processes.</t>
    </r>
  </si>
  <si>
    <r>
      <rPr>
        <u/>
        <sz val="11"/>
        <color rgb="FF0070C0"/>
        <rFont val="Calibri (Body)"/>
      </rPr>
      <t>SAGEN-CET (Capacities for the Energy Transition)</t>
    </r>
    <r>
      <rPr>
        <sz val="11"/>
        <color rgb="FF0070C0"/>
        <rFont val="Calibri"/>
        <family val="2"/>
        <scheme val="minor"/>
      </rPr>
      <t>: TA, specifically capacity building on power sector reform and power system planning and operation, technology innovation, green hydrogen</t>
    </r>
  </si>
  <si>
    <r>
      <rPr>
        <u/>
        <sz val="11"/>
        <color rgb="FF0070C0"/>
        <rFont val="Calibri (Body)"/>
      </rPr>
      <t>South African-German Energy Programme 4 (SAGEN 4)</t>
    </r>
    <r>
      <rPr>
        <sz val="11"/>
        <color rgb="FF0070C0"/>
        <rFont val="Calibri"/>
        <family val="2"/>
        <scheme val="minor"/>
      </rPr>
      <t>: Co-funding of municipal energy management system, street lighting retrofitting</t>
    </r>
  </si>
  <si>
    <r>
      <rPr>
        <u/>
        <sz val="11"/>
        <color rgb="FF0070C0"/>
        <rFont val="Calibri (Body)"/>
      </rPr>
      <t>Enabling Long-Term de-fossilisation Pathways through Power-to-X (PtX Pathways) South African Component</t>
    </r>
    <r>
      <rPr>
        <sz val="11"/>
        <color rgb="FF0070C0"/>
        <rFont val="Calibri"/>
        <family val="2"/>
        <scheme val="minor"/>
      </rPr>
      <t>: TA on supporting the build up of a sustainable PtX economy</t>
    </r>
  </si>
  <si>
    <r>
      <rPr>
        <u/>
        <sz val="11"/>
        <color rgb="FF0070C0"/>
        <rFont val="Calibri (Body)"/>
      </rPr>
      <t>South African – German Energy Partnership</t>
    </r>
    <r>
      <rPr>
        <sz val="11"/>
        <color rgb="FF0070C0"/>
        <rFont val="Calibri"/>
        <family val="2"/>
        <scheme val="minor"/>
      </rPr>
      <t>: All funds already committed.</t>
    </r>
  </si>
  <si>
    <r>
      <rPr>
        <u/>
        <sz val="11"/>
        <color rgb="FF0070C0"/>
        <rFont val="Calibri (Body)"/>
      </rPr>
      <t>Just Transition to a Decarbonised Economy (JUST SA)</t>
    </r>
    <r>
      <rPr>
        <sz val="11"/>
        <color rgb="FF0070C0"/>
        <rFont val="Calibri"/>
        <family val="2"/>
        <scheme val="minor"/>
      </rPr>
      <t>: The JUST SA project, implemented by GIZ, Green Cape, NBI, TIPS, and WWF SA, aims to support South Africa's transition to a low-carbon, climate-resilient economy. GIZ coordinates the program, providing grants and overseeing financial management, while working closely with partners such as the Department of Forestry, Fisheries and the Environment (DFFE), Presidential Climate Commission Secretariat (PCC), and other stakeholders. The project focuses on stakeholder participation in policy development, provincial green economic development, skills development, model projects on municipal level, and mine rehabilitation. JUST SA is leading the process to establish a multi-level stakeholder dialogue on Just Transition and supporting financial instrument development. JUST SA is developing a green economy transition strategy in the Mpumalanga region, supporting municipalities with Just Transition concepts and improving capacity development and financial access for SMMEs. Activities range from development of working papers on Just Transition, representation of marginalized communities in national dialogues, technical support for Just Transition project developers, organisational and strategical support for the MGCA, development of a strategy for green industry development in Mpumalanga, scaling of innovative funding instruments for SMMEs, local skills development in municipalities, to feasibility studies for water treatment approaches of mine water.</t>
    </r>
  </si>
  <si>
    <r>
      <rPr>
        <u/>
        <sz val="11"/>
        <color rgb="FF0070C0"/>
        <rFont val="Calibri (Body)"/>
      </rPr>
      <t>Innovative Financing of Green Infrastructure</t>
    </r>
    <r>
      <rPr>
        <sz val="11"/>
        <color rgb="FF0070C0"/>
        <rFont val="Calibri"/>
        <family val="2"/>
        <scheme val="minor"/>
      </rPr>
      <t xml:space="preserve">: The project will refinance the equity shares of South African Community Trusts in projects under the national REI4P. </t>
    </r>
  </si>
  <si>
    <r>
      <rPr>
        <u/>
        <sz val="11"/>
        <color rgb="FF0070C0"/>
        <rFont val="Calibri (Body)"/>
      </rPr>
      <t>Energy Efficiency in Public Buildings and Infrastructure Programme (EEPBIP)</t>
    </r>
    <r>
      <rPr>
        <sz val="11"/>
        <color rgb="FF0070C0"/>
        <rFont val="Calibri"/>
        <family val="2"/>
        <scheme val="minor"/>
      </rPr>
      <t>: EUR 8.7m TA, EUR12.3m Partial Credit Guarantee (IDC). Budget pro rata-ed for Nov 2021 start date with agreement of JETP</t>
    </r>
  </si>
  <si>
    <r>
      <rPr>
        <u/>
        <sz val="11"/>
        <color rgb="FF0070C0"/>
        <rFont val="Calibri (Body)"/>
      </rPr>
      <t>Promoting a Green Hydrogen Economy in South Africa (H2.SA)</t>
    </r>
    <r>
      <rPr>
        <sz val="11"/>
        <color rgb="FF0070C0"/>
        <rFont val="Calibri"/>
        <family val="2"/>
        <scheme val="minor"/>
      </rPr>
      <t>: All funds already committed.</t>
    </r>
  </si>
  <si>
    <r>
      <rPr>
        <u/>
        <sz val="11"/>
        <color rgb="FF0070C0"/>
        <rFont val="Calibri (Body)"/>
      </rPr>
      <t>Career Path Development for Employment (CPD4E) - BMZ</t>
    </r>
    <r>
      <rPr>
        <sz val="11"/>
        <color rgb="FF0070C0"/>
        <rFont val="Calibri"/>
        <family val="2"/>
        <scheme val="minor"/>
      </rPr>
      <t>: All funds already committed.</t>
    </r>
  </si>
  <si>
    <r>
      <rPr>
        <u/>
        <sz val="11"/>
        <color rgb="FF0070C0"/>
        <rFont val="Calibri (Body)"/>
      </rPr>
      <t>Support to the Presidential Youth Employment Intervention</t>
    </r>
    <r>
      <rPr>
        <sz val="11"/>
        <color rgb="FF0070C0"/>
        <rFont val="Calibri (Body)"/>
      </rPr>
      <t xml:space="preserve"> - S2PYEI</t>
    </r>
  </si>
  <si>
    <r>
      <rPr>
        <u/>
        <sz val="11"/>
        <color rgb="FF0070C0"/>
        <rFont val="Calibri (Body)"/>
      </rPr>
      <t>Policy advisory and other support to DFFE and other institutions on climate mitigation and adaptation issues -  biodiversity</t>
    </r>
    <r>
      <rPr>
        <sz val="11"/>
        <color rgb="FF0070C0"/>
        <rFont val="Calibri"/>
        <family val="2"/>
        <scheme val="minor"/>
      </rPr>
      <t>: All funds already committed.</t>
    </r>
  </si>
  <si>
    <r>
      <rPr>
        <u/>
        <sz val="11"/>
        <color rgb="FF0070C0"/>
        <rFont val="Calibri (Body)"/>
      </rPr>
      <t>Refinement of Eskom JET Office Strategy</t>
    </r>
    <r>
      <rPr>
        <sz val="11"/>
        <color rgb="FF0070C0"/>
        <rFont val="Calibri"/>
        <family val="2"/>
        <scheme val="minor"/>
      </rPr>
      <t>: Consulting services to the Eskom JET Office for the update, refinement, and initial implementation of the JET strategy.  Co-funded with GEAPP.  Executed by BCG.</t>
    </r>
  </si>
  <si>
    <r>
      <rPr>
        <u/>
        <sz val="11"/>
        <color rgb="FF0070C0"/>
        <rFont val="Calibri (Body)"/>
      </rPr>
      <t>Support to CSIR</t>
    </r>
    <r>
      <rPr>
        <sz val="11"/>
        <color rgb="FF0070C0"/>
        <rFont val="Calibri"/>
        <family val="2"/>
        <scheme val="minor"/>
      </rPr>
      <t>: Support the development of a holistic cost-benefit analysis study on the repurposing of two coal power plants; as well as the examination of the localization potential and enterprise development opportunities of both the solar PV and battery storage value chain</t>
    </r>
  </si>
  <si>
    <r>
      <rPr>
        <u/>
        <sz val="11"/>
        <color rgb="FF0070C0"/>
        <rFont val="Calibri (Body)"/>
      </rPr>
      <t>Economic diversification support to Steve Tshwete Municipality for</t>
    </r>
    <r>
      <rPr>
        <sz val="11"/>
        <color rgb="FF0070C0"/>
        <rFont val="Calibri"/>
        <family val="2"/>
        <scheme val="minor"/>
      </rPr>
      <t xml:space="preserve">: 1- The development of a just low-carbon transition strategy, in line with previous work undertaken by the German Cooperation (GiZ) and ICLEI. 2- Supporting the diversification of the local economy to make it less dependent on the coal industry. </t>
    </r>
  </si>
  <si>
    <r>
      <rPr>
        <u/>
        <sz val="11"/>
        <color rgb="FF0070C0"/>
        <rFont val="Calibri (Body)"/>
      </rPr>
      <t>Community Explorer</t>
    </r>
    <r>
      <rPr>
        <sz val="11"/>
        <color rgb="FF0070C0"/>
        <rFont val="Calibri (Body)"/>
      </rPr>
      <t>: Steve Tshwete Local Municipality</t>
    </r>
  </si>
  <si>
    <r>
      <rPr>
        <u/>
        <sz val="11"/>
        <color rgb="FF0070C0"/>
        <rFont val="Calibri (Body)"/>
      </rPr>
      <t>Participatory co-design of equitable energy transition interventions</t>
    </r>
    <r>
      <rPr>
        <sz val="11"/>
        <color rgb="FF0070C0"/>
        <rFont val="Calibri"/>
        <family val="2"/>
        <scheme val="minor"/>
      </rPr>
      <t>: Supporting an inclusive, participatory co-construction process in a community / municipality impacted by the energy transition, to  identify interventions that contribute to a just transition. This process will include local role players (local gov, civil society, unions, private sector)</t>
    </r>
  </si>
  <si>
    <r>
      <rPr>
        <u/>
        <sz val="11"/>
        <color rgb="FF0070C0"/>
        <rFont val="Calibri (Body)"/>
      </rPr>
      <t>Study on energy poverty:</t>
    </r>
    <r>
      <rPr>
        <sz val="11"/>
        <color rgb="FF0070C0"/>
        <rFont val="Calibri"/>
        <family val="2"/>
        <scheme val="minor"/>
      </rPr>
      <t xml:space="preserve"> Study on impact of power sector reforms on energy poverty.  With focus on Emalahleni Local Municipality</t>
    </r>
  </si>
  <si>
    <r>
      <rPr>
        <u/>
        <sz val="11"/>
        <color rgb="FF0070C0"/>
        <rFont val="Calibri (Body)"/>
      </rPr>
      <t>Cross sectoral</t>
    </r>
    <r>
      <rPr>
        <sz val="11"/>
        <color rgb="FF0070C0"/>
        <rFont val="Calibri"/>
        <family val="2"/>
        <scheme val="minor"/>
      </rPr>
      <t xml:space="preserve">: The purpose of the green bond issuance was to support investment in climate change mitigation and adaptation projects in Africa. The project is backed by a portfolio of sub-projects in the renewable energy sector (solar/wind) and/or in the water sector, with climate mitigation or adaptation co-benefits. The total value of the project is EUR 200 million for the subscription to the green bond issued by DBSA with a maturity of 7 years, and EUR 0.15 million in grants to finance technical assistance. </t>
    </r>
  </si>
  <si>
    <r>
      <rPr>
        <u/>
        <sz val="11"/>
        <color rgb="FF0070C0"/>
        <rFont val="Calibri (Body)"/>
      </rPr>
      <t>Contribution on the debate on a just transition in SA by mapping the entrenched historical implications of coal use, overlaying these with a description of some of the policies developed to address energy and climate change</t>
    </r>
    <r>
      <rPr>
        <sz val="11"/>
        <color rgb="FF0070C0"/>
        <rFont val="Calibri"/>
        <family val="2"/>
        <scheme val="minor"/>
      </rPr>
      <t>: This paper explores the extent to which social policies in South Africa might serve as mechanisms to enhance the transition to a low carbon economy and contribute to mitigating some of the negative impacts towards ensuring a holistic and just transition. It attempts to contribute to the fluid and contested nature of the debate on a just transition in South Africa by mapping the entrenched historical implications of coal use, overlaying these with a description of some of the policies developed to address energy and climate change and analysing the extent to which current social protection policies, designed to facilitate well-being, might be harnessed towards a more equitable society and a just transition</t>
    </r>
  </si>
  <si>
    <r>
      <rPr>
        <u/>
        <sz val="11"/>
        <color rgb="FF0070C0"/>
        <rFont val="Calibri (Body)"/>
      </rPr>
      <t>Analysis of the revitalisation of South African Mining Ghost Towns – focus on Phalaborwa and Carolina</t>
    </r>
    <r>
      <rPr>
        <sz val="11"/>
        <color rgb="FF0070C0"/>
        <rFont val="Calibri"/>
        <family val="2"/>
        <scheme val="minor"/>
      </rPr>
      <t>: The objective of the project was to identify existing and/or potential economic opportunities in the project target areas, BaPhalaborwa and Carolina, that could ensure a Just Transition from strongly mining oriented local economies . The IDC identified that smaller towns in the mining regions of South Africa are facing economic hardship as they transition into a greener based future. This is particularly the case for towns dependent on coal mining but the issues faced involve other mining dependent towns as well, particularly given general declines in mining productivity and life of mining cycles. Based on an IDC study review of such towns, they identified the two towns (Phalaborwa and Carolina) to form the basis of this Ghost Mining Project review</t>
    </r>
  </si>
  <si>
    <r>
      <rPr>
        <u/>
        <sz val="11"/>
        <color rgb="FF0070C0"/>
        <rFont val="Calibri (Body)"/>
      </rPr>
      <t>Develop a just transition partnering implementation model to guide the work of the PCC and its partners, with a focus on Mpumalanga</t>
    </r>
    <r>
      <rPr>
        <sz val="11"/>
        <color rgb="FF0070C0"/>
        <rFont val="Calibri"/>
        <family val="2"/>
        <scheme val="minor"/>
      </rPr>
      <t>: The purpose of the research is to develop a just transition partnering implementation model to guide the work of the PCC and its partners, with a focus on Mpumalanga.Special attention will be paid to the role of sub-national government, as well as relationships between state and non-state actors at the local level</t>
    </r>
  </si>
  <si>
    <r>
      <rPr>
        <u/>
        <sz val="11"/>
        <color rgb="FF0070C0"/>
        <rFont val="Calibri (Body)"/>
      </rPr>
      <t>This project responds to a need for a research centre to assist trade unions with technical expertise</t>
    </r>
    <r>
      <rPr>
        <sz val="11"/>
        <color rgb="FF0070C0"/>
        <rFont val="Calibri"/>
        <family val="2"/>
        <scheme val="minor"/>
      </rPr>
      <t>: This project responds to a need for a research centre to assist trade unions with technical expertise, including reviewing available research and the implications for workers; identifying and helping to analyse different levels of engagement with other stakeholders; and sharing experiences with similar structural changes in South Africa and internationally. The Labour School resolved to establish a just transition centre for South Africa that will provide the three Federations with technical expertise. The Just transition Centre for South African unions will be responsible for reviewing research into the impacts of the climate change on the economy; providing relevant technical expertise to the labour movement; and running capacity building programmes and workshops for unions across Federations.</t>
    </r>
  </si>
  <si>
    <r>
      <rPr>
        <u/>
        <sz val="11"/>
        <color rgb="FF0070C0"/>
        <rFont val="Calibri (Body)"/>
      </rPr>
      <t>Support the Public employment programs</t>
    </r>
    <r>
      <rPr>
        <sz val="11"/>
        <color rgb="FF0070C0"/>
        <rFont val="Calibri"/>
        <family val="2"/>
        <scheme val="minor"/>
      </rPr>
      <t>: This proposal requests the AFD to provide support to the ‘innovation sandbox’ role. While the immediacy of the pandemic is over, unemployment remains the single biggest cause of poverty and income inequality in South Africa, now exacerbated by the impact of the energy crisis on the economy – and the employment implications of the energy transition also. This context also requires the Presidential Employment Stimulus to pivot in ways that build on lessons from the Stimulus so far – but that now take those to the next level</t>
    </r>
  </si>
  <si>
    <r>
      <rPr>
        <u/>
        <sz val="11"/>
        <color rgb="FF0070C0"/>
        <rFont val="Calibri (Body)"/>
      </rPr>
      <t xml:space="preserve">Funding to the Environmental Justice Fund (EJF) to provide financial, capacity-building and networking support to community-based organisations (CBOs) and community networks working to advance environmental and climate justice in South Africa: </t>
    </r>
    <r>
      <rPr>
        <sz val="11"/>
        <color rgb="FF0070C0"/>
        <rFont val="Calibri"/>
        <family val="2"/>
        <scheme val="minor"/>
      </rPr>
      <t xml:space="preserve"> Supporting affected communities to design and implement responses to climate change and environmental injustice, is integral to driving a just transition.</t>
    </r>
  </si>
  <si>
    <r>
      <rPr>
        <u/>
        <sz val="11"/>
        <color rgb="FF0070C0"/>
        <rFont val="Calibri"/>
        <family val="2"/>
        <scheme val="minor"/>
      </rPr>
      <t xml:space="preserve">SME Support: </t>
    </r>
    <r>
      <rPr>
        <sz val="11"/>
        <color rgb="FF0070C0"/>
        <rFont val="Calibri"/>
        <family val="2"/>
        <scheme val="minor"/>
      </rPr>
      <t>Catalytic grant funding to be deployed in a blended finance structure using first loss capital and/or investment fund support to leverage private capital and  de-risk investment in SMEs in Mpumalanga.</t>
    </r>
  </si>
  <si>
    <r>
      <rPr>
        <u/>
        <sz val="11"/>
        <color rgb="FF0070C0"/>
        <rFont val="Calibri"/>
        <family val="2"/>
        <scheme val="minor"/>
      </rPr>
      <t xml:space="preserve">TVET Support: </t>
    </r>
    <r>
      <rPr>
        <sz val="11"/>
        <color rgb="FF0070C0"/>
        <rFont val="Calibri"/>
        <family val="2"/>
        <scheme val="minor"/>
      </rPr>
      <t xml:space="preserve">Technical assistance to Catalyse South Africa’s Technical Vocational Education and Training (TVET) capacity to deliver high quality, comprehensive and relevant sustainable skills in response to the country’s Just Energy Transition trajectory. </t>
    </r>
  </si>
  <si>
    <r>
      <rPr>
        <u/>
        <sz val="11"/>
        <color rgb="FF0070C0"/>
        <rFont val="Calibri"/>
        <family val="2"/>
        <scheme val="minor"/>
      </rPr>
      <t xml:space="preserve">JETP Civic Engagement in Mpumalanga: </t>
    </r>
    <r>
      <rPr>
        <sz val="11"/>
        <color rgb="FF0070C0"/>
        <rFont val="Calibri"/>
        <family val="2"/>
        <scheme val="minor"/>
      </rPr>
      <t xml:space="preserve">Activity focused on informing and engaging communities in Mpumalanga on JETP and preparing communities to actively participate in decision-making around the transition.  </t>
    </r>
  </si>
  <si>
    <r>
      <rPr>
        <u/>
        <sz val="11"/>
        <color rgb="FF0070C0"/>
        <rFont val="Calibri"/>
        <family val="2"/>
        <scheme val="minor"/>
      </rPr>
      <t xml:space="preserve">Coal Ash Beneficiation: </t>
    </r>
    <r>
      <rPr>
        <sz val="11"/>
        <color rgb="FF0070C0"/>
        <rFont val="Calibri"/>
        <family val="2"/>
        <scheme val="minor"/>
      </rPr>
      <t xml:space="preserve">Support for remediation and repurposing of coal mining land in Mpumalanga by creating a circular economy around coal ash beneficiation that will support repurposing efforts at Eskom’s upcoming coal-fired power plants to be decommissioned (Hendrina, Grootvlei, and Camden).  Specifically, these funds will support: (i) a mine waste in construction pilot project, building off a current Eskom project, using legacy coal fly ash for cement, building material, and mine backfill; (ii) a rare earth elements (REE) feasibility study analyzing the supply chain for critical minerals; and (iii) training and education activities related to worker safety.
</t>
    </r>
  </si>
  <si>
    <r>
      <rPr>
        <u/>
        <sz val="11"/>
        <color rgb="FF0070C0"/>
        <rFont val="Calibri"/>
        <family val="2"/>
        <scheme val="minor"/>
      </rPr>
      <t xml:space="preserve">Electricity Decarbonization Investment Assessment: </t>
    </r>
    <r>
      <rPr>
        <sz val="11"/>
        <color rgb="FF0070C0"/>
        <rFont val="Calibri"/>
        <family val="2"/>
        <scheme val="minor"/>
      </rPr>
      <t>Scenario analysis aimed at determining optimum pathways to deploy clean energy technologies and assess the abatement costs of various strategies in support of JET-IP's investment decisions.</t>
    </r>
  </si>
  <si>
    <r>
      <rPr>
        <u/>
        <sz val="11"/>
        <color rgb="FF0070C0"/>
        <rFont val="Calibri"/>
        <family val="2"/>
        <scheme val="minor"/>
      </rPr>
      <t xml:space="preserve">Electricity Sector Strengthening: </t>
    </r>
    <r>
      <rPr>
        <sz val="11"/>
        <color rgb="FF0070C0"/>
        <rFont val="Calibri"/>
        <family val="2"/>
        <scheme val="minor"/>
      </rPr>
      <t xml:space="preserve"> Technical Assistance Grant program focused on electricity sector strengthening, including municipal support for energy planning and renewable energy skills training.</t>
    </r>
  </si>
  <si>
    <r>
      <rPr>
        <u/>
        <sz val="11"/>
        <color rgb="FF0070C0"/>
        <rFont val="Calibri"/>
        <family val="2"/>
        <scheme val="minor"/>
      </rPr>
      <t xml:space="preserve">Transmission Assessment: </t>
    </r>
    <r>
      <rPr>
        <sz val="11"/>
        <color rgb="FF0070C0"/>
        <rFont val="Calibri"/>
        <family val="2"/>
        <scheme val="minor"/>
      </rPr>
      <t>Needs Analysis to determine additional contextual barriers and challenges of electrificiation vis a vis Transmission infrastrucutre, and provide the technical support for South Africa to develop a roadmap to adopt electro-technologies and expand utility-scale renewable energy capacity in end-use sectors as enabled by an expanded transmission system.</t>
    </r>
  </si>
  <si>
    <r>
      <rPr>
        <u/>
        <sz val="11"/>
        <color rgb="FF0070C0"/>
        <rFont val="Calibri"/>
        <family val="2"/>
        <scheme val="minor"/>
      </rPr>
      <t>Renewable Energy Integration:</t>
    </r>
    <r>
      <rPr>
        <sz val="11"/>
        <color rgb="FF0070C0"/>
        <rFont val="Calibri"/>
        <family val="2"/>
        <scheme val="minor"/>
      </rPr>
      <t xml:space="preserve"> Activites to build on established and substantial co-operation among U.S. and South African partners through the Global Power System Transformation Consortium (G-PST).</t>
    </r>
  </si>
  <si>
    <r>
      <rPr>
        <u/>
        <sz val="11"/>
        <color rgb="FF0070C0"/>
        <rFont val="Calibri"/>
        <family val="2"/>
        <scheme val="minor"/>
      </rPr>
      <t xml:space="preserve">Municipal Energy Planning: </t>
    </r>
    <r>
      <rPr>
        <sz val="11"/>
        <color rgb="FF0070C0"/>
        <rFont val="Calibri"/>
        <family val="2"/>
        <scheme val="minor"/>
      </rPr>
      <t>Training to municipalities on topics identified in the JET-IP such as resource planning, modernized distribution grid operation and governance, appropriate ancillary services, publicly owned renewable electricity generation and procurement, appropriate local large and distributed embedded generation, demand-side management (DSM), investment in new energy vehicles (NEV) and strategic off-grid renewable generation.</t>
    </r>
  </si>
  <si>
    <r>
      <rPr>
        <u/>
        <sz val="11"/>
        <color rgb="FF0070C0"/>
        <rFont val="Calibri"/>
        <family val="2"/>
        <scheme val="minor"/>
      </rPr>
      <t>Municipal Revenue Management Support: T</t>
    </r>
    <r>
      <rPr>
        <sz val="11"/>
        <color rgb="FF0070C0"/>
        <rFont val="Calibri"/>
        <family val="2"/>
        <scheme val="minor"/>
      </rPr>
      <t>echnical assistance to municipalities to revise tariff structures to better align their revenue raising process with the country decarbonization objectives.</t>
    </r>
  </si>
  <si>
    <r>
      <rPr>
        <u/>
        <sz val="11"/>
        <color rgb="FF0070C0"/>
        <rFont val="Calibri"/>
        <family val="2"/>
        <scheme val="minor"/>
      </rPr>
      <t>Transmission PPPs: S</t>
    </r>
    <r>
      <rPr>
        <sz val="11"/>
        <color rgb="FF0070C0"/>
        <rFont val="Calibri"/>
        <family val="2"/>
        <scheme val="minor"/>
      </rPr>
      <t>upport to PMU; scope still being determined but can training &amp; capacity building on private sector transmission options and opportunities, including legal and regulatory mapping and gap analysis, and the development of contracting capacity, leveraging the Understanding Power Transmission Financing handbook.</t>
    </r>
  </si>
  <si>
    <r>
      <rPr>
        <u/>
        <sz val="11"/>
        <color rgb="FF0070C0"/>
        <rFont val="Calibri (Body)"/>
      </rPr>
      <t>Eskom Transmission Grant</t>
    </r>
    <r>
      <rPr>
        <sz val="11"/>
        <color rgb="FF0070C0"/>
        <rFont val="Calibri"/>
        <family val="2"/>
        <scheme val="minor"/>
      </rPr>
      <t>: In July 2023, USTDA awarded a technical assistance grant to Eskom to explore innovative technologies that can transform power delivery and increase the transmission grid’s capacity to absorb new, renewable sources of energy generation and reduce the frequency of power cuts across the country. Eskom selected Idaho-based POWER Engineers, Inc., to conduct the technical assistance. The technical assistance will explore three distinct areas of technology that are critical near-term priorities for South Africa’s grid: artificial intelligence tools for system stability, energy storage systems and market modeling for cross-border energy trading structures. The technical assistance will assess the applicability and effectiveness of each technology and approach in South Africa. https://www.ustda.gov/ustda-eskom-partner-on-transmission-grid-transformation/</t>
    </r>
  </si>
  <si>
    <r>
      <rPr>
        <u/>
        <sz val="11"/>
        <color rgb="FF0070C0"/>
        <rFont val="Calibri (Body)"/>
      </rPr>
      <t xml:space="preserve">Project Preparation Funding and Technical Assistance Grants: </t>
    </r>
    <r>
      <rPr>
        <sz val="11"/>
        <color rgb="FF0070C0"/>
        <rFont val="Calibri (Body)"/>
      </rPr>
      <t>F</t>
    </r>
    <r>
      <rPr>
        <sz val="11"/>
        <color rgb="FF0070C0"/>
        <rFont val="Calibri"/>
        <family val="2"/>
        <scheme val="minor"/>
      </rPr>
      <t>or feasibility studies, technical assistance, and pilot projects in the clean energy and transportation sectors. Can support technologies such as clean and renewable power generation, including green hydrogen; solar minigrids and distributed renewable energy resources; energy storage through hydrogen fuel cells, batteries and other storage strategies; smart grid for electricity transmission and distribution, including dynamic utility infrastructure; energy efficiency and demand-side management; electric vehicle infrastructure; and advanced clean energy technologies that are commercially deployed or have been successfully piloted.</t>
    </r>
  </si>
  <si>
    <r>
      <rPr>
        <u/>
        <sz val="11"/>
        <color rgb="FF0070C0"/>
        <rFont val="Calibri (Body)"/>
      </rPr>
      <t>USTDA Green Hydrogen Industry Workshop</t>
    </r>
    <r>
      <rPr>
        <sz val="11"/>
        <color rgb="FF0070C0"/>
        <rFont val="Calibri"/>
        <family val="2"/>
        <scheme val="minor"/>
      </rPr>
      <t>: As part of the USTDA Clean Energy and Climate Infrastructure Event Series that promote cooperation between the U.S. and South African public and private sectors on topics such as transmission and distribution, green hydrogen, and municipal energy, the first event in the series took place on October 31 and November 1, 2022. USTDA hosted a South Africa Green Hydrogen Workshop in Cape Town to convene South African public and private sector stakeholders with U.S. industry to discuss various technical, regulatory, and enabling environment topics related to green hydrogen that can help catalyze the sector in South Africa and open market opportunities.</t>
    </r>
  </si>
  <si>
    <r>
      <rPr>
        <u/>
        <sz val="11"/>
        <color rgb="FF0070C0"/>
        <rFont val="Calibri"/>
        <family val="2"/>
        <scheme val="minor"/>
      </rPr>
      <t>Partnership Building Events: S</t>
    </r>
    <r>
      <rPr>
        <sz val="11"/>
        <color rgb="FF0070C0"/>
        <rFont val="Calibri"/>
        <family val="2"/>
        <scheme val="minor"/>
      </rPr>
      <t>uch as reverse trade missions, industry conferences and technical workshops, that connect overseas project sponsors to U.S. companies to observe the innovative design, manufacture and operation of U.S. products and services to support their infrastructure development goals. In support of the JETP, USTDA is funding the South Africa Clean Energy and Climate Infrastructure Event Series to promote cooperation on clean energy topics between the public and private sectors of the U.S. and South Africa.</t>
    </r>
  </si>
  <si>
    <r>
      <rPr>
        <u/>
        <sz val="11"/>
        <color rgb="FF0070C0"/>
        <rFont val="Calibri (Body)"/>
      </rPr>
      <t>USAID</t>
    </r>
    <r>
      <rPr>
        <u/>
        <sz val="11"/>
        <color rgb="FF0070C0"/>
        <rFont val="Calibri"/>
        <family val="2"/>
        <scheme val="minor"/>
      </rPr>
      <t xml:space="preserve"> Power to the People</t>
    </r>
  </si>
  <si>
    <r>
      <rPr>
        <u/>
        <sz val="11"/>
        <color rgb="FF0070C0"/>
        <rFont val="Calibri (Body)"/>
      </rPr>
      <t>USAID "Invest"</t>
    </r>
    <r>
      <rPr>
        <sz val="11"/>
        <color rgb="FF0070C0"/>
        <rFont val="Calibri"/>
        <family val="2"/>
        <scheme val="minor"/>
      </rPr>
      <t>: Mobilization of $33.5 million in private sector investment for clean energy in South Africa</t>
    </r>
  </si>
  <si>
    <r>
      <rPr>
        <u/>
        <sz val="11"/>
        <color rgb="FF0070C0"/>
        <rFont val="Calibri (Body)"/>
      </rPr>
      <t xml:space="preserve">1. Eskom Transmission Infrastructure Funding Options Report </t>
    </r>
    <r>
      <rPr>
        <sz val="11"/>
        <color rgb="FF0070C0"/>
        <rFont val="Calibri"/>
        <family val="2"/>
        <scheme val="minor"/>
      </rPr>
      <t>2. Support to SANEDI or Eskom with the development of a roadmap for establishing an ISMO or DSMO 3. Industry knowledge building: private sector financing of transmission grids</t>
    </r>
  </si>
  <si>
    <r>
      <rPr>
        <u/>
        <sz val="11"/>
        <color rgb="FF0070C0"/>
        <rFont val="Calibri (Body)"/>
      </rPr>
      <t xml:space="preserve">1. ESKOM - Mini-grid Development Support via CSIR Microgrid Centre of Excellence </t>
    </r>
    <r>
      <rPr>
        <sz val="11"/>
        <color rgb="FF0070C0"/>
        <rFont val="Calibri"/>
        <family val="2"/>
        <scheme val="minor"/>
      </rPr>
      <t>2. Assistance to South African Municipalities with Distribution Concessions 3. Assessment of the viability of a distribution concession at a selected municipality</t>
    </r>
  </si>
  <si>
    <r>
      <rPr>
        <u/>
        <sz val="11"/>
        <color rgb="FF0070C0"/>
        <rFont val="Calibri (Body)"/>
      </rPr>
      <t xml:space="preserve">1. Assessment of barriers and enablers to rooftop solar uptake in South Africa </t>
    </r>
    <r>
      <rPr>
        <sz val="11"/>
        <color rgb="FF0070C0"/>
        <rFont val="Calibri"/>
        <family val="2"/>
        <scheme val="minor"/>
      </rPr>
      <t>2.Ad hoc transaction support for South African energy companies 3. Transaction support for C&amp;I plant development</t>
    </r>
  </si>
  <si>
    <r>
      <rPr>
        <u/>
        <sz val="11"/>
        <color rgb="FF0070C0"/>
        <rFont val="Calibri (Body)"/>
      </rPr>
      <t>Industry knowledge building</t>
    </r>
    <r>
      <rPr>
        <sz val="11"/>
        <color rgb="FF0070C0"/>
        <rFont val="Calibri"/>
        <family val="2"/>
        <scheme val="minor"/>
      </rPr>
      <t>: battery storage</t>
    </r>
  </si>
  <si>
    <r>
      <rPr>
        <u/>
        <sz val="11"/>
        <color rgb="FF0070C0"/>
        <rFont val="Calibri (Body)"/>
      </rPr>
      <t xml:space="preserve">1.JET Municipality Readiness and Awareness </t>
    </r>
    <r>
      <rPr>
        <sz val="11"/>
        <color rgb="FF0070C0"/>
        <rFont val="Calibri"/>
        <family val="2"/>
        <scheme val="minor"/>
      </rPr>
      <t>2. JET coordination support and awareness raising 3. SA municipality customer education activity (revenue improvement, EE, RE) 4. Community engagement for JET in Mpumalanga 5. SALGA and SAEP support program to Mpumalanga municipalities</t>
    </r>
  </si>
  <si>
    <r>
      <rPr>
        <u/>
        <sz val="11"/>
        <color rgb="FF0070C0"/>
        <rFont val="Calibri (Body)"/>
      </rPr>
      <t>SALGA</t>
    </r>
    <r>
      <rPr>
        <sz val="11"/>
        <color rgb="FF0070C0"/>
        <rFont val="Calibri"/>
        <family val="2"/>
        <scheme val="minor"/>
      </rPr>
      <t>: Municipality network optimization for technical loss reduction</t>
    </r>
  </si>
  <si>
    <r>
      <rPr>
        <u/>
        <sz val="11"/>
        <color rgb="FF0070C0"/>
        <rFont val="Calibri (Body)"/>
      </rPr>
      <t>1. SALGA municipality support off/on grid electrification</t>
    </r>
    <r>
      <rPr>
        <sz val="11"/>
        <color rgb="FF0070C0"/>
        <rFont val="Calibri"/>
        <family val="2"/>
        <scheme val="minor"/>
      </rPr>
      <t xml:space="preserve"> 2. SALGA municipality support Electrification Project Management 3. DMRE Support for Integrated National Electrificiation Plan (INEP) - Electricity Master Planning 4. Options for scaling SHS and other off-grid solutions in South Africa</t>
    </r>
  </si>
  <si>
    <r>
      <rPr>
        <u/>
        <sz val="11"/>
        <color rgb="FF0070C0"/>
        <rFont val="Calibri (Body)"/>
      </rPr>
      <t>All other municipalities</t>
    </r>
    <r>
      <rPr>
        <sz val="11"/>
        <color rgb="FF0070C0"/>
        <rFont val="Calibri"/>
        <family val="2"/>
        <scheme val="minor"/>
      </rPr>
      <t>: 1. SALGA project finance fundamentals refresher training for municipalities 2. SALGA – Municipality energy strategy and plan support 3. SALGA knowledge product for JET 4. Support municipalities with approaches and required activities for entering into long-term PPAs with IPPs 5. Musina-Makhado Special Economic Zone (MMSEZ) project finance training 6. Follow-on project finance support to SALGA municipalities 7. SALGA Assist municipalities to assess the viability of deploying battery storage and other new technologies in their systems 8. Transaction support to City Power 9. Power project development support for municipalities</t>
    </r>
  </si>
  <si>
    <r>
      <rPr>
        <u/>
        <sz val="11"/>
        <color rgb="FF0070C0"/>
        <rFont val="Calibri (Body)"/>
      </rPr>
      <t>City of Cape Town support technical assistance to support</t>
    </r>
    <r>
      <rPr>
        <sz val="11"/>
        <color rgb="FF0070C0"/>
        <rFont val="Calibri"/>
        <family val="2"/>
        <scheme val="minor"/>
      </rPr>
      <t>: 1. tariff design for IPPs 2. Financial modelling input to 10MW Atlantis Solar Feasibility Study 3. High level pre-feasibility of a 60MWac Solar PV Facility at the Paardevlei site, Somerset-West 4. Energy project transaction support to catalyze investment 5. Energy planning support for load shedding mitigation 6. Risk and commercial review of draft final PPA</t>
    </r>
  </si>
  <si>
    <r>
      <rPr>
        <u/>
        <sz val="11"/>
        <color rgb="FF0070C0"/>
        <rFont val="Calibri (Body)"/>
      </rPr>
      <t>1. SAEP and DBSA collaboration</t>
    </r>
    <r>
      <rPr>
        <sz val="11"/>
        <color rgb="FF0070C0"/>
        <rFont val="Calibri"/>
        <family val="2"/>
        <scheme val="minor"/>
      </rPr>
      <t>, 2. SALGA - Revenue Management 3. SALGA knowledge product for revenue management</t>
    </r>
  </si>
  <si>
    <r>
      <rPr>
        <u/>
        <sz val="11"/>
        <color rgb="FF0070C0"/>
        <rFont val="Calibri (Body)"/>
      </rPr>
      <t>1. JET Capacity-building for Women in Energy (Phases 1 and 2)</t>
    </r>
    <r>
      <rPr>
        <sz val="11"/>
        <color rgb="FF0070C0"/>
        <rFont val="Calibri"/>
        <family val="2"/>
        <scheme val="minor"/>
      </rPr>
      <t xml:space="preserve"> 2. Establishing a Women's JET Champions Learning Network</t>
    </r>
  </si>
  <si>
    <r>
      <rPr>
        <u/>
        <sz val="11"/>
        <color rgb="FF0070C0"/>
        <rFont val="Calibri (Body)"/>
      </rPr>
      <t>TVET support</t>
    </r>
    <r>
      <rPr>
        <sz val="11"/>
        <color rgb="FF0070C0"/>
        <rFont val="Calibri"/>
        <family val="2"/>
        <scheme val="minor"/>
      </rPr>
      <t>: JET technical training to women in electrical /RE field Phases 1 and 2</t>
    </r>
  </si>
  <si>
    <r>
      <rPr>
        <u/>
        <sz val="11"/>
        <color rgb="FF0070C0"/>
        <rFont val="Calibri (Body)"/>
      </rPr>
      <t xml:space="preserve">1. SANEDI VRE Modeling Capacity Building Activity </t>
    </r>
    <r>
      <rPr>
        <sz val="11"/>
        <color rgb="FF0070C0"/>
        <rFont val="Calibri"/>
        <family val="2"/>
        <scheme val="minor"/>
      </rPr>
      <t>2. Industry knowledge building: VRE integration 3. VRE Integration Workshops/ Webinars 4. Leading practice regulatory regime to enable merchant plant development in South Africa 5. JET Investor Forum 6. GEAPP Municipal Support Facility Implementation Support 7. Scoping study for healthcare facility electrification using RE 8. Health Facility Support Services Electrification: ANOVA Support</t>
    </r>
  </si>
  <si>
    <r>
      <rPr>
        <u/>
        <sz val="11"/>
        <color rgb="FF0070C0"/>
        <rFont val="Calibri (Body)"/>
      </rPr>
      <t>The Department of State, Bureau of Energy Resources' Power Sector Program (ENR/PSP):</t>
    </r>
    <r>
      <rPr>
        <sz val="11"/>
        <color rgb="FF0070C0"/>
        <rFont val="Calibri"/>
        <family val="2"/>
        <scheme val="minor"/>
      </rPr>
      <t xml:space="preserve"> Electricity regulatory partnership with NERSA implemented by the National Association of Regulatory Utility Commissioners (NARUC). Activities focus on distribution system interconnection fees and standards and on auditing and prudence review of utility investments and procurements. In addition, ENR/PSP is providing new assistance to increase investment in RE generation and to facilitate direct PPAs with RE IPPs As part of this support, ENR/PSP are engaging SALGA and member municipalities to provide support on facilitating wheeling of power between consumers and IPPs, including the development of wheeling charges.</t>
    </r>
  </si>
  <si>
    <r>
      <rPr>
        <u/>
        <sz val="11"/>
        <color rgb="FF0070C0"/>
        <rFont val="Calibri (Body)"/>
      </rPr>
      <t>The Women-Led Coal Transition Mechanism (WOLCOT): A</t>
    </r>
    <r>
      <rPr>
        <sz val="11"/>
        <color rgb="FF0070C0"/>
        <rFont val="Calibri"/>
        <family val="2"/>
        <scheme val="minor"/>
      </rPr>
      <t xml:space="preserve">ims to enhance women’s climate leadership and effective participation in the design and decision-making of coal-to-clean transition strategies and implementation. 
https://w05.international.gc.ca/projectbrowser-banqueprojets/project-projet/details/P010807002 </t>
    </r>
  </si>
  <si>
    <r>
      <rPr>
        <u/>
        <sz val="11"/>
        <color rgb="FF0070C0"/>
        <rFont val="Calibri (Body)"/>
      </rPr>
      <t>Capacity building with ESKOM and relevant government minsteries and agencies</t>
    </r>
    <r>
      <rPr>
        <sz val="11"/>
        <color rgb="FF0070C0"/>
        <rFont val="Calibri"/>
        <family val="2"/>
        <scheme val="minor"/>
      </rPr>
      <t>: The Danish Embassy has  in collaboration with Danish Energy Agency hosted a program which aims to continually improve the capacity within ESKOM and government ministeries for improving the transmission of electricity in the south african electricity grid, by drawing on the DEA's experience from a danish context.</t>
    </r>
  </si>
  <si>
    <r>
      <rPr>
        <u/>
        <sz val="11"/>
        <color rgb="FF0070C0"/>
        <rFont val="Calibri (Body)"/>
      </rPr>
      <t>Capacity building with ESKOM and relevant government minsteries and agencies</t>
    </r>
    <r>
      <rPr>
        <sz val="11"/>
        <color rgb="FF0070C0"/>
        <rFont val="Calibri"/>
        <family val="2"/>
        <scheme val="minor"/>
      </rPr>
      <t xml:space="preserve">: Like for transmission, The Danish Embassy has  in collaboration with Danish Energy Agency hosted a program which aims to continually improve the capacity within ESKOM and government ministeries for improving the distribution of electricity in the South African electricity grid, by drawing on the DEA's experience from a danish context. </t>
    </r>
  </si>
  <si>
    <r>
      <rPr>
        <u/>
        <sz val="11"/>
        <color rgb="FF0070C0"/>
        <rFont val="Calibri (Body)"/>
      </rPr>
      <t>Mining Rights Mapping and Planning in Mpumalanga</t>
    </r>
    <r>
      <rPr>
        <sz val="11"/>
        <color rgb="FF0070C0"/>
        <rFont val="Calibri"/>
        <family val="2"/>
        <scheme val="minor"/>
      </rPr>
      <t>: To be overlaid with other information available to support the rolling out of large-cale RE in Mpumalanga province</t>
    </r>
  </si>
  <si>
    <r>
      <rPr>
        <u/>
        <sz val="11"/>
        <color rgb="FF0070C0"/>
        <rFont val="Calibri (Body)"/>
      </rPr>
      <t>Alternative Basic Service Deliver</t>
    </r>
    <r>
      <rPr>
        <u/>
        <sz val="11"/>
        <color rgb="FF0070C0"/>
        <rFont val="Calibri"/>
        <family val="2"/>
        <scheme val="minor"/>
      </rPr>
      <t>y</t>
    </r>
    <r>
      <rPr>
        <sz val="11"/>
        <color rgb="FF0070C0"/>
        <rFont val="Calibri"/>
        <family val="2"/>
        <scheme val="minor"/>
      </rPr>
      <t>: In three selected municipalities in Mpumalanga, including a common understanding of the required framework conditions for local municipalities in the province to explore alternative service delivery models</t>
    </r>
  </si>
  <si>
    <r>
      <rPr>
        <u/>
        <sz val="11"/>
        <color rgb="FF0070C0"/>
        <rFont val="Calibri (Body)"/>
      </rPr>
      <t>Wind Atlas South Africa (WASA)</t>
    </r>
    <r>
      <rPr>
        <sz val="11"/>
        <color rgb="FF0070C0"/>
        <rFont val="Calibri"/>
        <family val="2"/>
        <scheme val="minor"/>
      </rPr>
      <t xml:space="preserve">: This project aims to improve diggital infrastruture for RE, by mapping out where the most suitable sites for on-shore wind energy is located in South Africa, with a special focus on detailed mapping of winds in Mpumalanga, as it is a high priority area for just and green transitioning. The maps will be made for public use. </t>
    </r>
  </si>
  <si>
    <r>
      <rPr>
        <u/>
        <sz val="11"/>
        <color rgb="FF0070C0"/>
        <rFont val="Calibri (Body)"/>
      </rPr>
      <t>Just transition and labour market arrangements within green transition and climate</t>
    </r>
    <r>
      <rPr>
        <sz val="11"/>
        <color rgb="FF0070C0"/>
        <rFont val="Calibri"/>
        <family val="2"/>
        <scheme val="minor"/>
      </rPr>
      <t>: Projects involve supporting and developing small local businesses and upskilling and education local workforces, and promoting local engagement.</t>
    </r>
  </si>
  <si>
    <r>
      <rPr>
        <u/>
        <sz val="11"/>
        <color rgb="FF0070C0"/>
        <rFont val="Calibri (Body)"/>
      </rPr>
      <t>Master scholarships for SA in green and climate related topics</t>
    </r>
    <r>
      <rPr>
        <sz val="11"/>
        <color rgb="FF0070C0"/>
        <rFont val="Calibri"/>
        <family val="2"/>
        <scheme val="minor"/>
      </rPr>
      <t>: On average 3 scholars in Denmark annually on topics related to green transition and climate change</t>
    </r>
  </si>
  <si>
    <r>
      <rPr>
        <u/>
        <sz val="11"/>
        <color rgb="FF0070C0"/>
        <rFont val="Calibri (Body)"/>
      </rPr>
      <t>Short courses in Green transition and climate change topics for SA partners</t>
    </r>
    <r>
      <rPr>
        <sz val="11"/>
        <color rgb="FF0070C0"/>
        <rFont val="Calibri"/>
        <family val="2"/>
        <scheme val="minor"/>
      </rPr>
      <t>: On average 100 scholars on short courses at an annual basis on topics related to green transition and climate change</t>
    </r>
  </si>
  <si>
    <r>
      <rPr>
        <u/>
        <sz val="11"/>
        <color rgb="FF0070C0"/>
        <rFont val="Calibri (Body)"/>
      </rPr>
      <t>Research grants for green research consortia South Africa</t>
    </r>
    <r>
      <rPr>
        <sz val="11"/>
        <color rgb="FF0070C0"/>
        <rFont val="Calibri"/>
        <family val="2"/>
        <scheme val="minor"/>
      </rPr>
      <t>: Research collaboration on water and Energy between South Africa and Denmark. 5 research collaborations ongoing, and 5 research collaborations in pipeline.</t>
    </r>
  </si>
  <si>
    <r>
      <rPr>
        <u/>
        <sz val="11"/>
        <color rgb="FF0070C0"/>
        <rFont val="Calibri (Body)"/>
      </rPr>
      <t>New partnership yet to be scoped within “Green transition in the food and agriculture production in South Africa”. Potential areas</t>
    </r>
    <r>
      <rPr>
        <sz val="11"/>
        <color rgb="FF0070C0"/>
        <rFont val="Calibri"/>
        <family val="2"/>
        <scheme val="minor"/>
      </rPr>
      <t>: Sustainable and climate friendly livestock and dietary production including food safety, hygiene and animal health, food loss , waste of water and cooling. Capacity building of small-medium scale farmers and producers.  Public Private Partnerships in the food/agric value chain Regulations regarding export entering the EU markets.</t>
    </r>
  </si>
  <si>
    <r>
      <rPr>
        <u/>
        <sz val="11"/>
        <color rgb="FF0070C0"/>
        <rFont val="Calibri (Body)"/>
      </rPr>
      <t>Grootvlei Just Transition</t>
    </r>
    <r>
      <rPr>
        <sz val="11"/>
        <color rgb="FF0070C0"/>
        <rFont val="Calibri"/>
        <family val="2"/>
        <scheme val="minor"/>
      </rPr>
      <t>: Multiple activities to support the decommissioning of the Grootvlei power station by facilitating the development of alternative livelhoods in the area.</t>
    </r>
  </si>
  <si>
    <r>
      <rPr>
        <u/>
        <sz val="11"/>
        <color rgb="FF0070C0"/>
        <rFont val="Calibri (Body)"/>
      </rPr>
      <t>Youth in Actio</t>
    </r>
    <r>
      <rPr>
        <u/>
        <sz val="11"/>
        <color rgb="FF0070C0"/>
        <rFont val="Calibri"/>
        <family val="2"/>
        <scheme val="minor"/>
      </rPr>
      <t>n</t>
    </r>
    <r>
      <rPr>
        <sz val="11"/>
        <color rgb="FF0070C0"/>
        <rFont val="Calibri"/>
        <family val="2"/>
        <scheme val="minor"/>
      </rPr>
      <t>: Youth-driven project to support participation of youth in climate debates and decision-making.</t>
    </r>
  </si>
  <si>
    <r>
      <rPr>
        <u/>
        <sz val="11"/>
        <color rgb="FF0070C0"/>
        <rFont val="Calibri (Body)"/>
      </rPr>
      <t>Blue Deal - partnership between NL and SA on water management</t>
    </r>
    <r>
      <rPr>
        <sz val="11"/>
        <color rgb="FF0070C0"/>
        <rFont val="Calibri"/>
        <family val="2"/>
        <scheme val="minor"/>
      </rPr>
      <t>: One of the 5 projects is in Mpumalanga. Aims to provide 2 million people with access to sufficient, safe and reliable water by 2030. Works at 5 different project, including one in Mbombela, Mpumalanga. Total budget is 8 mln euros.</t>
    </r>
  </si>
  <si>
    <r>
      <rPr>
        <u/>
        <sz val="11"/>
        <color rgb="FF0070C0"/>
        <rFont val="Calibri (Body)"/>
      </rPr>
      <t>Grant component of the SA-H2 fund</t>
    </r>
    <r>
      <rPr>
        <sz val="11"/>
        <color rgb="FF0070C0"/>
        <rFont val="Calibri"/>
        <family val="2"/>
        <scheme val="minor"/>
      </rPr>
      <t>: SA-H2 is an innovative blended finance fund, that will facilitate and accelerate the development of a green hydrogen sector and circular economy in South Africa.</t>
    </r>
  </si>
  <si>
    <r>
      <rPr>
        <u/>
        <sz val="11"/>
        <color rgb="FF0070C0"/>
        <rFont val="Calibri (Body)"/>
      </rPr>
      <t>Budget for studies/TA/seminars etc., to acccelerate the green hydrogen economy</t>
    </r>
    <r>
      <rPr>
        <sz val="11"/>
        <color rgb="FF0070C0"/>
        <rFont val="Calibri"/>
        <family val="2"/>
        <scheme val="minor"/>
      </rPr>
      <t>: Multiple activities to support skills development and feasibility studies to accelerate the green hydrogen economy.</t>
    </r>
  </si>
  <si>
    <r>
      <rPr>
        <u/>
        <sz val="11"/>
        <color rgb="FF0070C0"/>
        <rFont val="Calibri (Body)"/>
      </rPr>
      <t>A just energy transition</t>
    </r>
    <r>
      <rPr>
        <sz val="11"/>
        <color rgb="FF0070C0"/>
        <rFont val="Calibri"/>
        <family val="2"/>
        <scheme val="minor"/>
      </rPr>
      <t>: Localization, decent work, SMMEs and sustainable livelihoods. The project will analyze clean energy value chains and their relationships with the rest of the economy. This approach provides an interdisciplinary framework for unpacking the complex issues in the clean energy value chain. It will trace consumption and production to the practices, history and relations that are reproduced within the clean energy value chains by analyzing them at different levels, including agents and agencies, structures, processes, relations and the cultural and contextual factors.
https://idrc-crdi.ca/en/project/just-energy-transition-localization-decent-work-smmes-and-sustainable-livelihoods</t>
    </r>
  </si>
  <si>
    <r>
      <rPr>
        <u/>
        <sz val="11"/>
        <color rgb="FF0070C0"/>
        <rFont val="Calibri (Body)"/>
      </rPr>
      <t>Enhancing access to renewable energy</t>
    </r>
    <r>
      <rPr>
        <sz val="11"/>
        <color rgb="FF0070C0"/>
        <rFont val="Calibri"/>
        <family val="2"/>
        <scheme val="minor"/>
      </rPr>
      <t>: A dividend for a just transition to low-carbon economies. This project will address these knowledge gaps by developing a practical framework that can inform future developments and the implementation of just transition pathways. It will assess the effectiveness of different renewable energy technologies in accelerating green jobs creation and a low-carbon trajectory in Uganda and South Africa; analyze the equity and distribution implications of energy transition in vulnerable communities across gender, age, and income groups; develop potential financial and business models to deliver a just transition pathway; and explore appropriate policy and regulatory interventions. The project will generate recommendations for future research and targeted policy interventions.
https://idrc-crdi.ca/en/project/enhancing-access-renewable-energy-dividend-just-transition-low-carbon-economies</t>
    </r>
  </si>
  <si>
    <r>
      <rPr>
        <u/>
        <sz val="11"/>
        <color rgb="FF0070C0"/>
        <rFont val="Calibri (Body)"/>
      </rPr>
      <t>Unlocking Inclusive Policymaking In Priority Areas for Clean Energy Transition</t>
    </r>
    <r>
      <rPr>
        <sz val="11"/>
        <color rgb="FF0070C0"/>
        <rFont val="Calibri"/>
        <family val="2"/>
        <scheme val="minor"/>
      </rPr>
      <t xml:space="preserve">: Cooking, Irrigation and Coal Phase Outs. This project will contribute to addressing three key areas of importance for energy transition (in India, Indonesia, and South Africa) where knowledge gaps are holding back inclusive change, particularly for women and youth, but also marginalized groups. The specific themes have been selected based on experience from IISD’s country programmes on the current state of the debate; the opportunity for transformative change from the application of these elements of transition; and our belief that the impacts of policies on women, youth and marginalized groups has not been sufficiently understood or given adequate consideration in policymaking. The selected themes are:
1. Incubating non-fossil clean cooking solutions (India and Indonesia)
2. Maximizing the social benefits of solar irrigation (India)
3. Ensuring an inclusive approach to just transition for coal mining communities (India and South Africa)
This project covers India, Indonesia and South Africa. The tentative amount for South Africa is CAD$ 400,000. Start date: 1 Jan 2023. End date: June 2026. </t>
    </r>
  </si>
  <si>
    <r>
      <rPr>
        <u/>
        <sz val="11"/>
        <color rgb="FF0070C0"/>
        <rFont val="Calibri (Body)"/>
      </rPr>
      <t>Operationalising a just transition in Africa</t>
    </r>
    <r>
      <rPr>
        <sz val="11"/>
        <color rgb="FF0070C0"/>
        <rFont val="Calibri"/>
        <family val="2"/>
        <scheme val="minor"/>
      </rPr>
      <t xml:space="preserve">: This project will conduct an in-depth analysis of the pathways to achieving transitions towards sustainable, low-carbon and equitable energy systems, including an assessment of capacity needs and skills. It will identify and analyze innovative options for financing in line with emerging energy goals. These include providing at least USD300 million to Africa’s access to clean energy, launched at COP 27, and increasing the continent’s renewable energy capacity to 25% of global renewable energy investments.
Project outputs will include journal articles on topics related to energy and just transition focusing on challenges and opportunities for gender equality and youth participation and leadership. Several policy briefs, produced in collaboration with national stakeholders and researchers, will identify policy-oriented entry points. This project covers Kenya and South Africa. Total project amount: CAD$ 703,100. The tentative amount for South Africa is CAD$ 210,000. Start date: 1 March 2023 for 30 months).
https://idrc-crdi.ca/en/project/operationalizing-just-transition-africa </t>
    </r>
  </si>
  <si>
    <r>
      <rPr>
        <u/>
        <sz val="11"/>
        <color rgb="FF0070C0"/>
        <rFont val="Calibri (Body)"/>
      </rPr>
      <t>INCA Capacity Building Fund</t>
    </r>
    <r>
      <rPr>
        <sz val="11"/>
        <color rgb="FF0070C0"/>
        <rFont val="Calibri"/>
        <family val="2"/>
        <scheme val="minor"/>
      </rPr>
      <t>: Support to development and training on long term financial strategies &amp; modeling, INCA Summer School and Master Classes.  Access to debt funding through the INCA Municipal Debt Fund</t>
    </r>
  </si>
  <si>
    <r>
      <rPr>
        <u/>
        <sz val="11"/>
        <color rgb="FF0070C0"/>
        <rFont val="Calibri (Body)"/>
      </rPr>
      <t>iLembe Local Economic Development Programme</t>
    </r>
    <r>
      <rPr>
        <sz val="11"/>
        <color rgb="FF0070C0"/>
        <rFont val="Calibri"/>
        <family val="2"/>
        <scheme val="minor"/>
      </rPr>
      <t xml:space="preserve">: Support to asset management and master planning, revenue and supply chain management, installation of a SCADA system, support to non-revenue electricity </t>
    </r>
  </si>
  <si>
    <r>
      <rPr>
        <u/>
        <sz val="11"/>
        <color rgb="FF0070C0"/>
        <rFont val="Calibri (Body)"/>
      </rPr>
      <t>PINK (Procurement, Infrastructure Development &amp; Knowledge Management)</t>
    </r>
    <r>
      <rPr>
        <sz val="11"/>
        <color rgb="FF0070C0"/>
        <rFont val="Calibri"/>
        <family val="2"/>
        <scheme val="minor"/>
      </rPr>
      <t>: Technical assistance to selected municipalities on procurement and SCM, infrastructure planning (with the implementation of the Infrastructure Delivery Management System (IDMS) &amp; knowledge management (e.g. communities of practice)</t>
    </r>
  </si>
  <si>
    <r>
      <rPr>
        <u/>
        <sz val="11"/>
        <color rgb="FF0070C0"/>
        <rFont val="Calibri (Body)"/>
      </rPr>
      <t>Career Path Development for Employment (CPD4E) - SECO</t>
    </r>
    <r>
      <rPr>
        <sz val="11"/>
        <color rgb="FF0070C0"/>
        <rFont val="Calibri"/>
        <family val="2"/>
        <scheme val="minor"/>
      </rPr>
      <t>: Applying a more integrated employment promotion approach, i.e. shift from the exclusive focus on improving the quality of TVETs and will focus on employment promotion.</t>
    </r>
  </si>
  <si>
    <r>
      <rPr>
        <u/>
        <sz val="11"/>
        <color rgb="FF0070C0"/>
        <rFont val="Calibri (Body)"/>
      </rPr>
      <t>Resource efficiency in industrial parks</t>
    </r>
    <r>
      <rPr>
        <sz val="11"/>
        <color rgb="FF0070C0"/>
        <rFont val="Calibri"/>
        <family val="2"/>
        <scheme val="minor"/>
      </rPr>
      <t>: Support for resource efficieny in selected industrial parks with potential spin-off projects in renewal energy and energy storage</t>
    </r>
  </si>
  <si>
    <r>
      <rPr>
        <u/>
        <sz val="11"/>
        <color rgb="FF0070C0"/>
        <rFont val="Calibri (Body)"/>
      </rPr>
      <t>Phase II to look into supporting IPP funding mechanisms</t>
    </r>
    <r>
      <rPr>
        <sz val="11"/>
        <color rgb="FF0070C0"/>
        <rFont val="Calibri"/>
        <family val="2"/>
        <scheme val="minor"/>
      </rPr>
      <t>: MCICP aims to foster reliable economic framework conditions for robust private sector growth, to design and implement systemic investment climate reforms, and to foster inclusive and sustainable job creation. Under Phase II, support is provided to the enabling environment for doing business (e.g. a one stop shop for IPP investments)</t>
    </r>
  </si>
  <si>
    <t>Implementing Entity</t>
  </si>
  <si>
    <t>Parties &amp; Other key beneficiaries</t>
  </si>
  <si>
    <t>Eskom; The Presidency, Department of Mineral Resources and Energy</t>
  </si>
  <si>
    <t xml:space="preserve">Eskom; Department of Public Enterprises, Department of Mineral Resources and Energy </t>
  </si>
  <si>
    <t>DTIC; The Presidency</t>
  </si>
  <si>
    <t>DFFE; Mpumalanga Provincial Government</t>
  </si>
  <si>
    <t>DFFE; NBI Private Sector Membership</t>
  </si>
  <si>
    <t>GreenCape, National Business Initiative, pwc; Low carbon project developers</t>
  </si>
  <si>
    <t>Mpumalanga Provincial Government, DMRE; DTIC, Renewable Energy Industry Associations (SAREC, SAWEA, STASA, SAPVIA)</t>
  </si>
  <si>
    <t>Government of South Africa; Low-carbon project developers</t>
  </si>
  <si>
    <t xml:space="preserve">Department of Science and Innovation (DSI); Department of Higher Education and Training (DHET), Energy and Water SETA (EW SETA) </t>
  </si>
  <si>
    <t xml:space="preserve">NAACAM and Elangeni TVET College; Automotive Industry and Electrical Engineering researchers    </t>
  </si>
  <si>
    <t>IOPSA; Employers needing  skilled plumbers in Solar Water Heating and Heat Pump Technologies</t>
  </si>
  <si>
    <t>SANEDI; DMRE</t>
  </si>
  <si>
    <t>IFC and DESNZ (UK Gvt); Financial Intermediaries, Green building developers, policy-makers.</t>
  </si>
  <si>
    <t>TBC; Selected municipalities in MP</t>
  </si>
  <si>
    <t xml:space="preserve">Department of Science and Innovation (DSI), South African National Energy Development Institute (SANEDI)
</t>
  </si>
  <si>
    <t>ALIGN; Mpumalanga Provincial Government</t>
  </si>
  <si>
    <t>IFC and Business Partners Limited; Commercial and industrial developers (for the benefit of Small and medium enterprises (SMEs))</t>
  </si>
  <si>
    <t>IFC and Nedbank; Residential housing developers</t>
  </si>
  <si>
    <t>Infra Impact, KfW; Community Trusts</t>
  </si>
  <si>
    <t>DMRE/ Presidency/ IDC; Municipalities, Provincial Government, State-Owned Entities, private sector</t>
  </si>
  <si>
    <t>DMRE; private sector, civil society, other relevant national institutions</t>
  </si>
  <si>
    <t xml:space="preserve">IDC, KfW (not agreed yet); Private and public companies </t>
  </si>
  <si>
    <t>Investment and Infrastructure Office in the Presidency; DTIC, DMRE, IDC, DFFE, DPWI, SABS, HySA, SANEDI</t>
  </si>
  <si>
    <t>DHET; TVET colleges, training providers, industry associations, NGOs</t>
  </si>
  <si>
    <t>DFFE; Municipalities, Provinces</t>
  </si>
  <si>
    <t>DFFE; As per Technical Cooperation Agreement between GER and SA</t>
  </si>
  <si>
    <t>GEAPP; Eskom</t>
  </si>
  <si>
    <t>CSIR; DHET, Eskom</t>
  </si>
  <si>
    <t>ICLEI; Steve Tshwete Municipality</t>
  </si>
  <si>
    <t>UCT; Presidency, Steve Tswhete Local Municipality, CoGTA, MP Province</t>
  </si>
  <si>
    <t>Indalo Inclusive South Africa; Community stakeholders in Dipaleseng District Municipality, Mpumalanga</t>
  </si>
  <si>
    <t>CST; PCC</t>
  </si>
  <si>
    <t>Oneworld; IDC</t>
  </si>
  <si>
    <t>Western Cape Economic Development Partnership; PCC</t>
  </si>
  <si>
    <t>JET Labour Center through TIPS; Presidency, with support from the NT</t>
  </si>
  <si>
    <t>TIPS; Presidency, with support from the NT</t>
  </si>
  <si>
    <t>Environmental Justice Fund; Community-led environmental justice organisations and networks</t>
  </si>
  <si>
    <t>IPP Office; Local communities where REIPPP projects are developed</t>
  </si>
  <si>
    <t>LBNL, USAID, SANEDI; DMRE</t>
  </si>
  <si>
    <t>DOE, USAID; DMRE</t>
  </si>
  <si>
    <t>State, Winrock; South African Women</t>
  </si>
  <si>
    <t>Deloitte and NARUC; NERSA, SALGA, DMRE</t>
  </si>
  <si>
    <t>To be implemented by CIF implementing agencies (ie. WB, AfDB, IFC); TBD</t>
  </si>
  <si>
    <t xml:space="preserve">Danish MFA, Danish Energy Agency, Eskom, DMRE, IPPO; Capacity building within ESKOM, DMRE, NERSA and IPPO is a key part of supporting transition towards RE, eventually benefitting the South African society in increasing generation, transmission and distribution capacity and energy security. </t>
  </si>
  <si>
    <t xml:space="preserve">Green Cape, Mpumalanga Green Cluster, PREAMB; Investors in RE generational capacity, and policy makers. </t>
  </si>
  <si>
    <t>Green Cape, Mpumalanga Green Cluster, PREAMB; Residents of three selected municipalites in Mpumalanga. 300 households.</t>
  </si>
  <si>
    <t>Zanedi, Danish Technical University, CSIR, Danish Energy Agency; Publicly available for use when contemplating investment in Wind energy for both policymakers and investors.</t>
  </si>
  <si>
    <t>Universities in South Africa and Denmark and program partner institutions in South Africa; Employers in need of technically skilled workforces in order to implement RE.</t>
  </si>
  <si>
    <t>Universities in Denmark. Program partner institutions in South Africa; The short course participants contribute to the partner organisations for whom they are employed.</t>
  </si>
  <si>
    <t>Universities in South Africa and Denmark; Fields of which the studies have relevance.</t>
  </si>
  <si>
    <t>Institute for Economic Justice (local partner); Just Urban Transition and the Congress of South African Trade Unions</t>
  </si>
  <si>
    <t>SECO, IPM; Municipalities</t>
  </si>
  <si>
    <t>SECO, National Treasury; iLembe Municipalities, KZN</t>
  </si>
  <si>
    <t>SECO, National Treasury; Municipalities in Free State &amp; Mpumalanga</t>
  </si>
  <si>
    <t>SECO, GIZ; SALGA, SANEDI, SEA</t>
  </si>
  <si>
    <t>SECO, World Bank; National Treasury, metros</t>
  </si>
  <si>
    <t>SECO, UNIDO; the dtic, NCPC-SA</t>
  </si>
  <si>
    <t>SECO, IFC; InvestSA, the dtic, selected metros &amp; investment agencies</t>
  </si>
  <si>
    <t>SECO, IFC; Metropolitan municipalities, secondary cities</t>
  </si>
  <si>
    <t>Multiple partners; Eskom, Eskom employees, local communities</t>
  </si>
  <si>
    <t>South African Institute for International Affairs; youth</t>
  </si>
  <si>
    <r>
      <rPr>
        <b/>
        <u/>
        <sz val="11"/>
        <color theme="1"/>
        <rFont val="Calibri (Body)"/>
      </rPr>
      <t>Footnote 1 (Total US$):</t>
    </r>
    <r>
      <rPr>
        <sz val="11"/>
        <color theme="1"/>
        <rFont val="Calibri"/>
        <family val="2"/>
        <scheme val="minor"/>
      </rPr>
      <t xml:space="preserve"> US$ to ZAR is 17,05 (Exchange Rate). The average exchange rate from October 2022 to September 2023 using Oanda has been applied. Grants (with some exceptions) are managed in home currencies – the exchange rate applied is from the home currency to US$, using an average rate from October 2022 to September 2023. This exchange rate will be regularly updated (Quarterly) to account for fluctuations from GBP/Euro/CHF/CAD to USD. </t>
    </r>
  </si>
  <si>
    <r>
      <rPr>
        <b/>
        <u/>
        <sz val="11"/>
        <color theme="1"/>
        <rFont val="Calibri (Body)"/>
      </rPr>
      <t>Footnote 2 (Start Date):</t>
    </r>
    <r>
      <rPr>
        <sz val="11"/>
        <color theme="1"/>
        <rFont val="Calibri"/>
        <family val="2"/>
        <scheme val="minor"/>
      </rPr>
      <t xml:space="preserve"> All figures are pro-rated from November 2021 and reflect the support provided from COP26 onwards. </t>
    </r>
  </si>
  <si>
    <r>
      <rPr>
        <u/>
        <sz val="11"/>
        <color rgb="FF0070C0"/>
        <rFont val="Calibri (Body)"/>
      </rPr>
      <t>The job holder was seconded to the Secretariat of the Presidential Climate Commission (PCC)</t>
    </r>
    <r>
      <rPr>
        <sz val="11"/>
        <color rgb="FF0070C0"/>
        <rFont val="Calibri"/>
        <family val="2"/>
        <scheme val="minor"/>
      </rPr>
      <t>: The secondee faciliatted peer-to-peer exchange with the UK’s Climate Change Committee and supported the the convening of stakeholder meetings in the lead up to the development of the Commission's Just Transition Framework.</t>
    </r>
  </si>
  <si>
    <r>
      <rPr>
        <u/>
        <sz val="11"/>
        <color rgb="FF0070C0"/>
        <rFont val="Calibri (Body)"/>
      </rPr>
      <t>Supporting the set up and design of the Energy Secretariat (embedded in SANEDI)</t>
    </r>
    <r>
      <rPr>
        <sz val="11"/>
        <color rgb="FF0070C0"/>
        <rFont val="Calibri"/>
        <family val="2"/>
        <scheme val="minor"/>
      </rPr>
      <t>: The skill-share will support the development of a Theory of Change (ToC) and Monitoring, Evaluation and Learning (MEL) framework for the draft Energy, Science, Technology and Innovation (STI) Plan and the Energy Secretariat respectively.</t>
    </r>
  </si>
  <si>
    <r>
      <rPr>
        <u/>
        <sz val="11"/>
        <color rgb="FF0070C0"/>
        <rFont val="Calibri (Body)"/>
      </rPr>
      <t>The project supported SANEDI</t>
    </r>
    <r>
      <rPr>
        <sz val="11"/>
        <color rgb="FF0070C0"/>
        <rFont val="Calibri"/>
        <family val="2"/>
        <scheme val="minor"/>
      </rPr>
      <t xml:space="preserve"> in its role of facilitating the operationalisation of EPC data and the implementation of the Mandatory Energy Performance Certificate (EPC) for Buildings Regulation.  </t>
    </r>
  </si>
  <si>
    <t>PWC and future bidder</t>
  </si>
  <si>
    <t>Early-stage pipeline scoping in Mpumalanga for JETP SME investment</t>
  </si>
  <si>
    <t>BCG</t>
  </si>
  <si>
    <t>UK043</t>
  </si>
  <si>
    <t>European Union</t>
  </si>
  <si>
    <t>Presidential Climate Commission (PCC)</t>
  </si>
  <si>
    <t>United Kingdom</t>
  </si>
  <si>
    <t>United States</t>
  </si>
  <si>
    <t xml:space="preserve">Presidential Climate Commission </t>
  </si>
  <si>
    <t>National Treasury: COGTA, SALGA, selected municipalities</t>
  </si>
  <si>
    <r>
      <rPr>
        <u/>
        <sz val="11"/>
        <color rgb="FF0070C0"/>
        <rFont val="Calibri"/>
        <family val="2"/>
        <scheme val="minor"/>
      </rPr>
      <t>Presidential Climate Commission (PCC) Energy Modelling</t>
    </r>
    <r>
      <rPr>
        <sz val="11"/>
        <color rgb="FF0070C0"/>
        <rFont val="Calibri"/>
        <family val="2"/>
        <scheme val="minor"/>
      </rPr>
      <t xml:space="preserve">: The funding is to facilitate the PCC work on granular net-zero pathways for the economy and to support South African policy makers to access South African climate related socio-economic modelling focusing on key sectors (transport and energy) and key provinces (Mpumalanga and Eastern Cape). </t>
    </r>
  </si>
  <si>
    <r>
      <rPr>
        <u/>
        <sz val="11"/>
        <color rgb="FF0070C0"/>
        <rFont val="Calibri"/>
        <family val="2"/>
        <scheme val="minor"/>
      </rPr>
      <t>The Climate Change Champions</t>
    </r>
    <r>
      <rPr>
        <sz val="11"/>
        <color rgb="FF0070C0"/>
        <rFont val="Calibri"/>
        <family val="2"/>
        <scheme val="minor"/>
      </rPr>
      <t>: The Climate Change Champions, funded under the thematic programme “Civil Society Organisations (CSOs) and Local Authorities (LAs) 2014-2020”, resulted in the allocation of 5 grants. The specific objective of the call is to increase the participation of South African CSOs in tackling climate change, mitigating greenhouse gases emissions and adapting to its adverse effects. The aim is to tackle climate change while enhancing gender equality and participation of the youth.</t>
    </r>
  </si>
  <si>
    <r>
      <rPr>
        <u/>
        <sz val="11"/>
        <color rgb="FF0070C0"/>
        <rFont val="Calibri"/>
        <family val="2"/>
        <scheme val="minor"/>
      </rPr>
      <t>PCC Stakeholder and community engagement</t>
    </r>
    <r>
      <rPr>
        <sz val="11"/>
        <color rgb="FF0070C0"/>
        <rFont val="Calibri"/>
        <family val="2"/>
        <scheme val="minor"/>
      </rPr>
      <t>: The  funding is to facilitate PCC stakeholder and community engagements in Mpumalanga and Eastern Cape with knowledge products, workshops, dialogues and exchanges of experiences. The PCC will decide on the proposed focus on investment opportunities arising from just transition.</t>
    </r>
  </si>
  <si>
    <r>
      <t>PCC Communication</t>
    </r>
    <r>
      <rPr>
        <sz val="11"/>
        <color rgb="FF0070C0"/>
        <rFont val="Calibri"/>
        <family val="2"/>
        <scheme val="minor"/>
      </rPr>
      <t>: Translation into Venda, Zulu, and isiXhosa of the Just Transition Framework to enhance information accessibility. Additionally, funding will be used to create communication materials and infographics to bolster the PCC stakeholder engagement process.</t>
    </r>
  </si>
  <si>
    <r>
      <t xml:space="preserve">Bridging Inequalities through Greening of Municipal Services: </t>
    </r>
    <r>
      <rPr>
        <sz val="11"/>
        <color rgb="FF0070C0"/>
        <rFont val="Calibri"/>
        <family val="2"/>
        <scheme val="minor"/>
      </rPr>
      <t>The action will support selected South African cities to address some of these key service delivery challenges while focusing on smart and green solutions, enabled by digitalisation and the use of technologies. It will help build adaptive capacity and capabilities in the face of climate change, resource depletion, financial shocks, growing inequality and poverty, in particular inequality in sustainable access to (greener) water, energy or waste management services.</t>
    </r>
  </si>
  <si>
    <r>
      <rPr>
        <u/>
        <sz val="11"/>
        <color rgb="FF0070C0"/>
        <rFont val="Calibri"/>
        <family val="2"/>
        <scheme val="minor"/>
      </rPr>
      <t xml:space="preserve">Response of the Earth System to overshoot, Climate neutrality and negative Emissions under Horizon Europe: </t>
    </r>
    <r>
      <rPr>
        <sz val="11"/>
        <color rgb="FF0070C0"/>
        <rFont val="Calibri"/>
        <family val="2"/>
        <scheme val="minor"/>
      </rPr>
      <t>The RESCUE project will improve knowledge and understanding in area of this call: “Climate and Earth System responses to climate neutrality and net negative emissions”, by pursuing two overall objectives: 1) Quantify the climate and Earth system responses to pathways achieving climate neutrality by Carbon Dioxide Removal (CDR) deployment with and without temperature overshoot, and 2) Assess the potential role of CDR in reducing net GHG emissions, as well as its potential environmental risks and co-benefits.</t>
    </r>
  </si>
  <si>
    <r>
      <rPr>
        <u/>
        <sz val="11"/>
        <color rgb="FF0070C0"/>
        <rFont val="Calibri"/>
        <family val="2"/>
        <scheme val="minor"/>
      </rPr>
      <t xml:space="preserve">Grant to facilitate infrastructure investment of municipalities: </t>
    </r>
    <r>
      <rPr>
        <sz val="11"/>
        <color rgb="FF0070C0"/>
        <rFont val="Calibri"/>
        <family val="2"/>
        <scheme val="minor"/>
      </rPr>
      <t>Infrastructure Investment Programme for SA (IIPSA) was launched in 2014. It focuses on blending of the EU grants with loans from DFIs in support of infrastructure projects. Sustainable energy, transport, green hyrdogen, water are among the focal sectors of the programme. Approx. €35M will be programmed with focus on electricity generation, battery storage, transport, green hydrogen and water.</t>
    </r>
  </si>
  <si>
    <r>
      <rPr>
        <u/>
        <sz val="11"/>
        <color rgb="FF0070C0"/>
        <rFont val="Calibri"/>
        <family val="2"/>
        <scheme val="minor"/>
      </rPr>
      <t>Presidential Climate Commission (PCC) Energy Modelling</t>
    </r>
    <r>
      <rPr>
        <sz val="11"/>
        <color rgb="FF0070C0"/>
        <rFont val="Calibri"/>
        <family val="2"/>
        <scheme val="minor"/>
      </rPr>
      <t xml:space="preserve">: The  funding is to facilitate the PCC work on granular net-zero pathways for the economy and to support South African policy makers to access South African climate related socio-economic modelling focusing on key sectors (transport and energy) and key provinces (Mpumalanga and Eastern Cape). </t>
    </r>
  </si>
  <si>
    <r>
      <rPr>
        <u/>
        <sz val="11"/>
        <color rgb="FF0070C0"/>
        <rFont val="Calibri"/>
        <family val="2"/>
        <scheme val="minor"/>
      </rPr>
      <t xml:space="preserve">Electricity Decarbonization Investment Assessment: </t>
    </r>
    <r>
      <rPr>
        <sz val="11"/>
        <color rgb="FF0070C0"/>
        <rFont val="Calibri"/>
        <family val="2"/>
        <scheme val="minor"/>
      </rPr>
      <t>Scenario analysis aimed at determining optimum pathways to deploy clean energy technologies and assess the abatement costs of various strategies in support of JET IP's investment decisions.</t>
    </r>
  </si>
  <si>
    <r>
      <rPr>
        <u/>
        <sz val="11"/>
        <color rgb="FF0070C0"/>
        <rFont val="Calibri"/>
        <family val="2"/>
        <scheme val="minor"/>
      </rPr>
      <t xml:space="preserve">Municipal Energy Planning: </t>
    </r>
    <r>
      <rPr>
        <sz val="11"/>
        <color rgb="FF0070C0"/>
        <rFont val="Calibri"/>
        <family val="2"/>
        <scheme val="minor"/>
      </rPr>
      <t>Training to municipalities on topics identified in the JET IP such as resource planning, modernized distribution grid operation and governance, appropriate ancillary services, publicly owned renewable electricity generation and procurement, appropriate local large and distributed embedded generation, demand-side management (DSM), investment in new energy vehicles (NEV) and strategic off-grid renewable generation.</t>
    </r>
  </si>
  <si>
    <r>
      <t xml:space="preserve">South African German Energy Programme 4 - </t>
    </r>
    <r>
      <rPr>
        <sz val="11"/>
        <color rgb="FF0070C0"/>
        <rFont val="Calibri (Body)"/>
      </rPr>
      <t>support to selected municipalities in the development of energy management systems and retrofitting of street lighting with energy effiecient technology.</t>
    </r>
  </si>
  <si>
    <r>
      <rPr>
        <u/>
        <sz val="11"/>
        <color rgb="FF0070C0"/>
        <rFont val="Calibri (Body)"/>
      </rPr>
      <t>Just Urban Transition and Resilience focus for Cities Support Programme</t>
    </r>
    <r>
      <rPr>
        <sz val="11"/>
        <color rgb="FF0070C0"/>
        <rFont val="Calibri"/>
        <family val="2"/>
        <scheme val="minor"/>
      </rPr>
      <t>: Support to South Africa's eight metros in financial and fiscal governance, climate resilient infrastructure and water resilience, and economic development. Plans are underway for a stronger focus on JUT from 2025 onwards.</t>
    </r>
  </si>
  <si>
    <r>
      <rPr>
        <u/>
        <sz val="11"/>
        <color rgb="FF0070C0"/>
        <rFont val="Calibri (Body)"/>
      </rPr>
      <t>Sustainable Cities - Africa Platform</t>
    </r>
    <r>
      <rPr>
        <sz val="11"/>
        <color rgb="FF0070C0"/>
        <rFont val="Calibri"/>
        <family val="2"/>
        <scheme val="minor"/>
      </rPr>
      <t>: Support to participating metros in the development and implementation of climate action plans, energy efficient and resilient infrastructure, for phase II also for secondary cities</t>
    </r>
  </si>
  <si>
    <t>GR001</t>
  </si>
  <si>
    <t>Eskom, KfW</t>
  </si>
  <si>
    <t>GR006</t>
  </si>
  <si>
    <t>DMRE, Munics, NTCSA, NERSA</t>
  </si>
  <si>
    <t>GR009</t>
  </si>
  <si>
    <t>Infra Impact, KfW
not agreed yet</t>
  </si>
  <si>
    <t>GR013</t>
  </si>
  <si>
    <t>GR014</t>
  </si>
  <si>
    <t>South African Renewable Energy Technology Centre (SARETEC)</t>
  </si>
  <si>
    <t>NBI, KfW</t>
  </si>
  <si>
    <t>CPUT, KfW</t>
  </si>
  <si>
    <t>GR020</t>
  </si>
  <si>
    <t>The funding specifically targets JET implementation, with a focus on Just and systemic process support for the transition / capacity building and the subnational level.</t>
  </si>
  <si>
    <t>ACF/GIZ</t>
  </si>
  <si>
    <t>Sasol Germany GmbH, Helmholtz Center Berlin (HZB), Karlsruhe Institute for Technology (KIT), Fraunhofer Institute), INERATEC GmbH</t>
  </si>
  <si>
    <r>
      <t xml:space="preserve">Investments in the Power Sector Reform Programme: </t>
    </r>
    <r>
      <rPr>
        <sz val="11"/>
        <color rgb="FF0070C0"/>
        <rFont val="Calibri (Body)"/>
      </rPr>
      <t>Promotion of a sustainable energy transition, e.g. by expanding renewable energy capacities</t>
    </r>
  </si>
  <si>
    <r>
      <rPr>
        <u/>
        <sz val="11"/>
        <color rgb="FF0070C0"/>
        <rFont val="Calibri (Body)"/>
      </rPr>
      <t>SAGEN-CET2 (Capacities for the Energy Transition2)</t>
    </r>
    <r>
      <rPr>
        <sz val="11"/>
        <color rgb="FF0070C0"/>
        <rFont val="Calibri (Body)"/>
      </rPr>
      <t xml:space="preserve">: Funds only available once project is commissioned </t>
    </r>
  </si>
  <si>
    <r>
      <rPr>
        <u/>
        <sz val="11"/>
        <color rgb="FF0070C0"/>
        <rFont val="Calibri (Body)"/>
      </rPr>
      <t>Innovative Financing of Green Infrastructure II</t>
    </r>
    <r>
      <rPr>
        <sz val="11"/>
        <color rgb="FF0070C0"/>
        <rFont val="Calibri (Body)"/>
      </rPr>
      <t>: Expansion of the refinancing facility under phase I.</t>
    </r>
  </si>
  <si>
    <r>
      <rPr>
        <u/>
        <sz val="11"/>
        <color rgb="FF0070C0"/>
        <rFont val="Calibri (Body)"/>
      </rPr>
      <t>Skills &amp; Employment Program (IRM)</t>
    </r>
    <r>
      <rPr>
        <sz val="11"/>
        <color rgb="FF0070C0"/>
        <rFont val="Calibri (Body)"/>
      </rPr>
      <t>: This project promotes skills development and youth employment in the field of IRM (installation, repair and maintenance). With its special focus on township economies, the programme will support the establishment of IRM hubs in selected TVET colleges. The hubs will provide business acceleration support, enabling access to markets and new supply chains as well as training services for targeted local SMEs, thus unlocking the potential for business growth and employment generation. With emphasis on green economy, technical training on renewable energies and the partneship with key industrial centers (like the SEZs in Atlantis, Tshwane North, the Isithebe Eco-Industrial park and Mpumananga based industries) to program diectly aligns with JET.</t>
    </r>
  </si>
  <si>
    <r>
      <rPr>
        <u/>
        <sz val="11"/>
        <color rgb="FF0070C0"/>
        <rFont val="Calibri (Body)"/>
      </rPr>
      <t>Skills4JET</t>
    </r>
    <r>
      <rPr>
        <sz val="11"/>
        <color rgb="FF0070C0"/>
        <rFont val="Calibri (Body)"/>
      </rPr>
      <t xml:space="preserve">: The project promotes technical skills in renewable energy technologies. The project supports a) expansion of SARETEC's training infrastructure, human resources and training offerings (wind, PV &amp; battery storage, possibly H2), b) roll-out of technical training progams to selected TVET colleges (such as PV &amp; battery storage, energy efficiency, solar water heating, CSP) and c) establishing training facilities for renewable engergies supporting ESKOM's JET plans (possibly at the Grootvlei Power Station or at the ESKOM's Academy of Learning - EAL). The project intends to provided training institutions who offer training programms in renewable energies with related infrastructure for own practise and operations, such as PV and battery storage ("Greening TVET"). </t>
    </r>
  </si>
  <si>
    <t>JET IP Grants Mapping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</si>
</sst>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R-1C09]* #,##0.00_-;\-[$R-1C09]* #,##0.00_-;_-[$R-1C09]* &quot;-&quot;??_-;_-@_-"/>
    <numFmt numFmtId="165" formatCode="_-[$R-1C09]* #,##0_-;\-[$R-1C09]* #,##0_-;_-[$R-1C09]* &quot;-&quot;??_-;_-@_-"/>
    <numFmt numFmtId="166" formatCode="_-[$$-409]* #,##0_ ;_-[$$-409]* \-#,##0\ ;_-[$$-409]* &quot;-&quot;??_ ;_-@_ "/>
    <numFmt numFmtId="167" formatCode="[$-F800]dddd\,\ mmmm\ dd\,\ yyyy"/>
    <numFmt numFmtId="168" formatCode="[$CHF-807]\ #,##0"/>
    <numFmt numFmtId="169" formatCode="#,##0\ [$kr.-406]"/>
    <numFmt numFmtId="170" formatCode="[$€-2]\ #,##0"/>
    <numFmt numFmtId="171" formatCode="_-[$£-809]* #,##0.00_-;\-[$£-809]* #,##0.00_-;_-[$£-809]* &quot;-&quot;??_-;_-@_-"/>
    <numFmt numFmtId="172" formatCode="_-[$£-809]* #,##0_-;\-[$£-809]* #,##0_-;_-[$£-809]* &quot;-&quot;??_-;_-@_-"/>
    <numFmt numFmtId="173" formatCode="_([$$-409]* #,##0_);_([$$-409]* \(#,##0\);_([$$-409]* &quot;-&quot;_);_(@_)"/>
    <numFmt numFmtId="174" formatCode="[$CHF-807]\ #,##0;[$CHF-807]\ \-#,##0"/>
    <numFmt numFmtId="175" formatCode="_([$$-409]* #,##0_);_([$$-409]* \(#,##0\);_([$$-409]* &quot;-&quot;??_);_(@_)"/>
    <numFmt numFmtId="176" formatCode="&quot;R&quot;#,##0"/>
    <numFmt numFmtId="177" formatCode="[$$-409]#,##0"/>
  </numFmts>
  <fonts count="29" x14ac:knownFonts="1">
    <font>
      <sz val="11"/>
      <color theme="1"/>
      <name val="Calibri"/>
      <family val="2"/>
      <scheme val="minor"/>
    </font>
    <font>
      <sz val="8"/>
      <name val="Calibri"/>
      <family val="2"/>
      <scheme val="minor"/>
    </font>
    <font>
      <b/>
      <sz val="11"/>
      <color rgb="FF0070C0"/>
      <name val="Calibri"/>
      <family val="2"/>
      <scheme val="minor"/>
    </font>
    <font>
      <sz val="11"/>
      <color rgb="FF0070C0"/>
      <name val="Calibri"/>
      <family val="2"/>
      <scheme val="minor"/>
    </font>
    <font>
      <b/>
      <sz val="20"/>
      <color rgb="FF002060"/>
      <name val="Calibri"/>
      <family val="2"/>
      <scheme val="minor"/>
    </font>
    <font>
      <sz val="11"/>
      <color theme="1"/>
      <name val="Calibri"/>
      <family val="2"/>
      <scheme val="minor"/>
    </font>
    <font>
      <sz val="11"/>
      <color rgb="FFC00000"/>
      <name val="Calibri"/>
      <family val="2"/>
      <scheme val="minor"/>
    </font>
    <font>
      <b/>
      <sz val="11"/>
      <color rgb="FFC00000"/>
      <name val="Calibri"/>
      <family val="2"/>
      <scheme val="minor"/>
    </font>
    <font>
      <b/>
      <sz val="11"/>
      <color theme="9"/>
      <name val="Calibri"/>
      <family val="2"/>
      <scheme val="minor"/>
    </font>
    <font>
      <sz val="11"/>
      <color theme="9"/>
      <name val="Calibri (Body)"/>
    </font>
    <font>
      <sz val="10.5"/>
      <color theme="1"/>
      <name val="Calibri"/>
      <family val="2"/>
    </font>
    <font>
      <sz val="10.5"/>
      <color theme="1"/>
      <name val="Calibri"/>
      <family val="2"/>
      <scheme val="minor"/>
    </font>
    <font>
      <sz val="11"/>
      <color rgb="FF0070C0"/>
      <name val="Calibri (Body)"/>
    </font>
    <font>
      <b/>
      <sz val="11"/>
      <color rgb="FF0070C0"/>
      <name val="Calibri (Body)"/>
    </font>
    <font>
      <sz val="10.5"/>
      <color rgb="FF000000"/>
      <name val="Calibri"/>
      <family val="2"/>
      <scheme val="minor"/>
    </font>
    <font>
      <sz val="11"/>
      <color theme="9"/>
      <name val="Calibri"/>
      <family val="2"/>
      <scheme val="minor"/>
    </font>
    <font>
      <b/>
      <sz val="11"/>
      <color theme="9"/>
      <name val="Calibri (Body)"/>
    </font>
    <font>
      <b/>
      <sz val="11"/>
      <color theme="5"/>
      <name val="Calibri"/>
      <family val="2"/>
      <scheme val="minor"/>
    </font>
    <font>
      <sz val="11"/>
      <color theme="5"/>
      <name val="Calibri"/>
      <family val="2"/>
      <scheme val="minor"/>
    </font>
    <font>
      <sz val="11"/>
      <color theme="5"/>
      <name val="Calibri (Body)"/>
    </font>
    <font>
      <b/>
      <sz val="11"/>
      <color theme="0"/>
      <name val="Calibri"/>
      <family val="2"/>
      <scheme val="minor"/>
    </font>
    <font>
      <sz val="11"/>
      <color rgb="FFFF0000"/>
      <name val="Calibri"/>
      <family val="2"/>
      <scheme val="minor"/>
    </font>
    <font>
      <sz val="11"/>
      <color rgb="FF7030A0"/>
      <name val="Calibri"/>
      <family val="2"/>
      <scheme val="minor"/>
    </font>
    <font>
      <u/>
      <sz val="11"/>
      <color rgb="FF0070C0"/>
      <name val="Calibri"/>
      <family val="2"/>
      <scheme val="minor"/>
    </font>
    <font>
      <sz val="11"/>
      <color rgb="FF0070C0"/>
      <name val="Calibri"/>
      <family val="2"/>
    </font>
    <font>
      <u/>
      <sz val="11"/>
      <color rgb="FF0070C0"/>
      <name val="Calibri (Body)"/>
    </font>
    <font>
      <u/>
      <sz val="11"/>
      <color theme="1"/>
      <name val="Calibri (Body)"/>
    </font>
    <font>
      <b/>
      <u/>
      <sz val="11"/>
      <color theme="1"/>
      <name val="Calibri (Body)"/>
    </font>
    <font>
      <sz val="11"/>
      <color rgb="FFC00000"/>
      <name val="Calibri (Body)"/>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31">
    <xf numFmtId="0" fontId="0" fillId="0" borderId="0" xfId="0"/>
    <xf numFmtId="0" fontId="0" fillId="0" borderId="0" xfId="0" applyAlignment="1">
      <alignment wrapText="1"/>
    </xf>
    <xf numFmtId="0" fontId="3" fillId="0" borderId="0" xfId="0" applyFont="1"/>
    <xf numFmtId="167" fontId="0" fillId="0" borderId="0" xfId="0" applyNumberFormat="1"/>
    <xf numFmtId="167" fontId="0" fillId="0" borderId="0" xfId="0" applyNumberFormat="1" applyAlignment="1">
      <alignment wrapText="1"/>
    </xf>
    <xf numFmtId="0" fontId="7" fillId="0" borderId="0" xfId="0" applyFont="1"/>
    <xf numFmtId="0" fontId="8" fillId="0" borderId="0" xfId="0" applyFont="1"/>
    <xf numFmtId="164" fontId="3" fillId="0" borderId="0" xfId="0" applyNumberFormat="1" applyFont="1" applyAlignment="1">
      <alignment wrapText="1"/>
    </xf>
    <xf numFmtId="9" fontId="0" fillId="0" borderId="0" xfId="1" applyFont="1" applyAlignment="1">
      <alignment wrapText="1"/>
    </xf>
    <xf numFmtId="9" fontId="0" fillId="0" borderId="0" xfId="0" applyNumberFormat="1" applyAlignment="1">
      <alignment wrapText="1"/>
    </xf>
    <xf numFmtId="0" fontId="0" fillId="0" borderId="5" xfId="0" applyBorder="1"/>
    <xf numFmtId="0" fontId="10" fillId="0" borderId="0" xfId="0" applyFont="1" applyAlignment="1">
      <alignment vertical="center"/>
    </xf>
    <xf numFmtId="0" fontId="11" fillId="0" borderId="0" xfId="0" applyFont="1"/>
    <xf numFmtId="0" fontId="3" fillId="0" borderId="0" xfId="0" applyFont="1" applyAlignment="1">
      <alignment wrapText="1"/>
    </xf>
    <xf numFmtId="0" fontId="12" fillId="0" borderId="0" xfId="0" applyFont="1" applyAlignment="1">
      <alignment wrapText="1"/>
    </xf>
    <xf numFmtId="167" fontId="3" fillId="0" borderId="0" xfId="0" applyNumberFormat="1" applyFont="1" applyAlignment="1">
      <alignment wrapText="1"/>
    </xf>
    <xf numFmtId="0" fontId="12" fillId="0" borderId="0" xfId="0" applyFont="1"/>
    <xf numFmtId="164" fontId="12" fillId="0" borderId="0" xfId="0" applyNumberFormat="1" applyFont="1" applyAlignment="1">
      <alignment wrapText="1"/>
    </xf>
    <xf numFmtId="167" fontId="12" fillId="0" borderId="0" xfId="0" applyNumberFormat="1" applyFont="1" applyAlignment="1">
      <alignment wrapText="1"/>
    </xf>
    <xf numFmtId="0" fontId="13" fillId="0" borderId="0" xfId="0" applyFont="1" applyAlignment="1">
      <alignment wrapText="1"/>
    </xf>
    <xf numFmtId="0" fontId="13" fillId="0" borderId="0" xfId="0" applyFont="1"/>
    <xf numFmtId="164" fontId="13" fillId="0" borderId="0" xfId="0" applyNumberFormat="1" applyFont="1" applyAlignment="1">
      <alignment wrapText="1"/>
    </xf>
    <xf numFmtId="167" fontId="13" fillId="0" borderId="0" xfId="0" applyNumberFormat="1" applyFont="1" applyAlignment="1">
      <alignment wrapText="1"/>
    </xf>
    <xf numFmtId="0" fontId="14" fillId="0" borderId="0" xfId="0" applyFont="1"/>
    <xf numFmtId="9" fontId="0" fillId="0" borderId="0" xfId="1" applyFont="1" applyBorder="1" applyAlignment="1">
      <alignment horizontal="right" vertical="center"/>
    </xf>
    <xf numFmtId="9" fontId="3" fillId="0" borderId="0" xfId="1" applyFont="1" applyBorder="1" applyAlignment="1">
      <alignment horizontal="right" vertical="center"/>
    </xf>
    <xf numFmtId="0" fontId="8" fillId="0" borderId="0" xfId="0" applyFont="1" applyAlignment="1">
      <alignment wrapText="1"/>
    </xf>
    <xf numFmtId="9" fontId="8" fillId="0" borderId="0" xfId="1" applyFont="1" applyAlignment="1">
      <alignment wrapText="1"/>
    </xf>
    <xf numFmtId="0" fontId="16" fillId="0" borderId="0" xfId="0" applyFont="1" applyAlignment="1">
      <alignment wrapText="1"/>
    </xf>
    <xf numFmtId="166" fontId="15" fillId="0" borderId="0" xfId="0" applyNumberFormat="1" applyFont="1"/>
    <xf numFmtId="166" fontId="9" fillId="0" borderId="0" xfId="0" applyNumberFormat="1" applyFont="1"/>
    <xf numFmtId="165" fontId="9" fillId="0" borderId="0" xfId="0" applyNumberFormat="1" applyFont="1"/>
    <xf numFmtId="166" fontId="16" fillId="0" borderId="0" xfId="0" applyNumberFormat="1" applyFont="1"/>
    <xf numFmtId="0" fontId="15" fillId="0" borderId="0" xfId="0" applyFont="1" applyAlignment="1">
      <alignment wrapText="1"/>
    </xf>
    <xf numFmtId="0" fontId="9" fillId="0" borderId="0" xfId="0" applyFont="1"/>
    <xf numFmtId="0" fontId="15" fillId="0" borderId="0" xfId="0" applyFont="1"/>
    <xf numFmtId="164" fontId="15" fillId="0" borderId="0" xfId="0" applyNumberFormat="1" applyFont="1" applyAlignment="1">
      <alignment wrapText="1"/>
    </xf>
    <xf numFmtId="9" fontId="15" fillId="0" borderId="0" xfId="1" applyFont="1" applyAlignment="1">
      <alignment wrapText="1"/>
    </xf>
    <xf numFmtId="167" fontId="15" fillId="0" borderId="0" xfId="0" applyNumberFormat="1" applyFont="1" applyAlignment="1">
      <alignment wrapText="1"/>
    </xf>
    <xf numFmtId="0" fontId="6" fillId="0" borderId="0" xfId="0" applyFont="1"/>
    <xf numFmtId="0" fontId="6" fillId="0" borderId="0" xfId="0" applyFont="1" applyAlignment="1">
      <alignment wrapText="1"/>
    </xf>
    <xf numFmtId="164" fontId="6" fillId="0" borderId="0" xfId="0" applyNumberFormat="1" applyFont="1" applyAlignment="1">
      <alignment wrapText="1"/>
    </xf>
    <xf numFmtId="9" fontId="6" fillId="0" borderId="0" xfId="1" applyFont="1" applyAlignment="1">
      <alignment wrapText="1"/>
    </xf>
    <xf numFmtId="9" fontId="7" fillId="0" borderId="0" xfId="1" applyFont="1" applyAlignment="1">
      <alignment wrapText="1"/>
    </xf>
    <xf numFmtId="0" fontId="17" fillId="0" borderId="0" xfId="0" applyFont="1"/>
    <xf numFmtId="0" fontId="19" fillId="0" borderId="0" xfId="0" applyFont="1"/>
    <xf numFmtId="9" fontId="18" fillId="0" borderId="0" xfId="1" applyFont="1" applyBorder="1" applyAlignment="1">
      <alignment horizontal="right" vertical="center"/>
    </xf>
    <xf numFmtId="166" fontId="7" fillId="0" borderId="0" xfId="0" applyNumberFormat="1" applyFont="1"/>
    <xf numFmtId="167" fontId="6" fillId="0" borderId="0" xfId="0" applyNumberFormat="1" applyFont="1" applyAlignment="1">
      <alignment wrapText="1"/>
    </xf>
    <xf numFmtId="166" fontId="8" fillId="0" borderId="0" xfId="0" applyNumberFormat="1" applyFont="1"/>
    <xf numFmtId="9" fontId="15" fillId="0" borderId="0" xfId="1" applyFont="1" applyBorder="1" applyAlignment="1">
      <alignment horizontal="right" vertical="center"/>
    </xf>
    <xf numFmtId="0" fontId="20" fillId="2" borderId="6" xfId="0" applyFont="1" applyFill="1" applyBorder="1"/>
    <xf numFmtId="0" fontId="20" fillId="2" borderId="7" xfId="0" applyFont="1" applyFill="1" applyBorder="1"/>
    <xf numFmtId="0" fontId="20" fillId="2" borderId="7" xfId="0" applyFont="1" applyFill="1" applyBorder="1" applyAlignment="1">
      <alignment wrapText="1"/>
    </xf>
    <xf numFmtId="9" fontId="20" fillId="2" borderId="7" xfId="1" applyFont="1" applyFill="1" applyBorder="1" applyAlignment="1">
      <alignment wrapText="1"/>
    </xf>
    <xf numFmtId="167" fontId="20" fillId="2" borderId="7" xfId="0" applyNumberFormat="1" applyFont="1" applyFill="1" applyBorder="1"/>
    <xf numFmtId="164" fontId="16" fillId="0" borderId="0" xfId="0" applyNumberFormat="1" applyFont="1" applyAlignment="1">
      <alignment wrapText="1"/>
    </xf>
    <xf numFmtId="167" fontId="16" fillId="0" borderId="0" xfId="0" applyNumberFormat="1" applyFont="1" applyAlignment="1">
      <alignment wrapText="1"/>
    </xf>
    <xf numFmtId="9" fontId="8" fillId="0" borderId="0" xfId="0" applyNumberFormat="1" applyFont="1" applyAlignment="1">
      <alignment wrapText="1"/>
    </xf>
    <xf numFmtId="9" fontId="8" fillId="0" borderId="0" xfId="1" applyFont="1" applyBorder="1" applyAlignment="1">
      <alignment wrapText="1"/>
    </xf>
    <xf numFmtId="0" fontId="20" fillId="2" borderId="8" xfId="0" applyFont="1" applyFill="1" applyBorder="1"/>
    <xf numFmtId="0" fontId="20" fillId="2" borderId="9" xfId="0" applyFont="1" applyFill="1" applyBorder="1"/>
    <xf numFmtId="0" fontId="20" fillId="2" borderId="8" xfId="0" applyFont="1" applyFill="1" applyBorder="1" applyAlignment="1">
      <alignment wrapText="1"/>
    </xf>
    <xf numFmtId="9" fontId="20" fillId="2" borderId="8" xfId="1" applyFont="1" applyFill="1" applyBorder="1" applyAlignment="1">
      <alignment wrapText="1"/>
    </xf>
    <xf numFmtId="167" fontId="20" fillId="2" borderId="8" xfId="0" applyNumberFormat="1" applyFont="1" applyFill="1" applyBorder="1"/>
    <xf numFmtId="0" fontId="21" fillId="0" borderId="0" xfId="0" applyFont="1"/>
    <xf numFmtId="171" fontId="16" fillId="0" borderId="0" xfId="0" applyNumberFormat="1" applyFont="1"/>
    <xf numFmtId="2" fontId="2" fillId="0" borderId="3" xfId="0" applyNumberFormat="1" applyFont="1" applyBorder="1" applyAlignment="1">
      <alignment horizontal="center"/>
    </xf>
    <xf numFmtId="0" fontId="2" fillId="0" borderId="1" xfId="0" applyFont="1" applyBorder="1" applyAlignment="1">
      <alignment horizontal="center"/>
    </xf>
    <xf numFmtId="172" fontId="2" fillId="0" borderId="0" xfId="0" applyNumberFormat="1" applyFont="1"/>
    <xf numFmtId="166" fontId="2" fillId="0" borderId="0" xfId="0" applyNumberFormat="1" applyFont="1"/>
    <xf numFmtId="0" fontId="2" fillId="0" borderId="3" xfId="0" applyFont="1" applyBorder="1" applyAlignment="1">
      <alignment horizontal="center"/>
    </xf>
    <xf numFmtId="170" fontId="12" fillId="0" borderId="0" xfId="0" applyNumberFormat="1" applyFont="1"/>
    <xf numFmtId="0" fontId="22" fillId="0" borderId="0" xfId="0" applyFont="1"/>
    <xf numFmtId="0" fontId="0" fillId="3" borderId="10" xfId="0" applyFill="1" applyBorder="1"/>
    <xf numFmtId="170" fontId="2" fillId="0" borderId="0" xfId="0" applyNumberFormat="1" applyFont="1"/>
    <xf numFmtId="0" fontId="2" fillId="0" borderId="4" xfId="0" applyFont="1" applyBorder="1" applyAlignment="1">
      <alignment horizontal="center"/>
    </xf>
    <xf numFmtId="0" fontId="2" fillId="0" borderId="2" xfId="0" applyFont="1" applyBorder="1" applyAlignment="1">
      <alignment horizontal="center"/>
    </xf>
    <xf numFmtId="166" fontId="12" fillId="0" borderId="0" xfId="0" applyNumberFormat="1" applyFont="1"/>
    <xf numFmtId="165" fontId="3" fillId="0" borderId="0" xfId="0" applyNumberFormat="1" applyFont="1"/>
    <xf numFmtId="165" fontId="12" fillId="0" borderId="0" xfId="0" applyNumberFormat="1" applyFont="1"/>
    <xf numFmtId="0" fontId="12" fillId="0" borderId="0" xfId="0" applyFont="1" applyAlignment="1">
      <alignment vertical="center" wrapText="1"/>
    </xf>
    <xf numFmtId="0" fontId="3" fillId="0" borderId="0" xfId="0" applyFont="1" applyAlignment="1">
      <alignment vertical="center" wrapText="1"/>
    </xf>
    <xf numFmtId="164" fontId="12" fillId="0" borderId="0" xfId="0" applyNumberFormat="1" applyFont="1" applyAlignment="1">
      <alignment vertical="center" wrapText="1"/>
    </xf>
    <xf numFmtId="0" fontId="12" fillId="0" borderId="0" xfId="0" applyFont="1" applyAlignment="1">
      <alignment vertical="center"/>
    </xf>
    <xf numFmtId="0" fontId="3" fillId="0" borderId="0" xfId="0" applyFont="1" applyAlignment="1">
      <alignment vertical="center"/>
    </xf>
    <xf numFmtId="166" fontId="12" fillId="0" borderId="0" xfId="0" applyNumberFormat="1" applyFont="1" applyAlignment="1">
      <alignment vertical="center"/>
    </xf>
    <xf numFmtId="165" fontId="3" fillId="0" borderId="0" xfId="0" applyNumberFormat="1" applyFont="1" applyAlignment="1">
      <alignment vertical="center"/>
    </xf>
    <xf numFmtId="166" fontId="3" fillId="0" borderId="0" xfId="0" applyNumberFormat="1" applyFont="1" applyAlignment="1">
      <alignment vertical="center"/>
    </xf>
    <xf numFmtId="166" fontId="2" fillId="0" borderId="0" xfId="0" applyNumberFormat="1" applyFont="1" applyAlignment="1">
      <alignment vertical="center"/>
    </xf>
    <xf numFmtId="165" fontId="2" fillId="0" borderId="0" xfId="0" applyNumberFormat="1" applyFont="1"/>
    <xf numFmtId="165" fontId="13" fillId="0" borderId="0" xfId="0" applyNumberFormat="1" applyFont="1"/>
    <xf numFmtId="170" fontId="2" fillId="0" borderId="0" xfId="0" applyNumberFormat="1" applyFont="1" applyAlignment="1">
      <alignment vertical="center"/>
    </xf>
    <xf numFmtId="165" fontId="13" fillId="0" borderId="0" xfId="0" applyNumberFormat="1" applyFont="1" applyAlignment="1">
      <alignment vertical="center"/>
    </xf>
    <xf numFmtId="172" fontId="3" fillId="0" borderId="0" xfId="0" applyNumberFormat="1" applyFont="1" applyAlignment="1">
      <alignment vertical="center"/>
    </xf>
    <xf numFmtId="172" fontId="12" fillId="0" borderId="0" xfId="0" applyNumberFormat="1" applyFont="1" applyAlignment="1">
      <alignment vertical="center"/>
    </xf>
    <xf numFmtId="164" fontId="3" fillId="0" borderId="0" xfId="0" applyNumberFormat="1" applyFont="1" applyAlignment="1">
      <alignment vertical="center" wrapText="1"/>
    </xf>
    <xf numFmtId="166" fontId="13" fillId="0" borderId="0" xfId="0" applyNumberFormat="1" applyFont="1"/>
    <xf numFmtId="170" fontId="12" fillId="0" borderId="0" xfId="0" applyNumberFormat="1" applyFont="1" applyAlignment="1">
      <alignment vertical="center"/>
    </xf>
    <xf numFmtId="165" fontId="12" fillId="0" borderId="0" xfId="0" applyNumberFormat="1" applyFont="1" applyAlignment="1">
      <alignment vertical="center"/>
    </xf>
    <xf numFmtId="170" fontId="3" fillId="0" borderId="0" xfId="0" applyNumberFormat="1" applyFont="1" applyAlignment="1">
      <alignment vertical="center"/>
    </xf>
    <xf numFmtId="0" fontId="24" fillId="0" borderId="0" xfId="0" applyFont="1" applyAlignment="1">
      <alignment vertical="center" wrapText="1"/>
    </xf>
    <xf numFmtId="0" fontId="24" fillId="0" borderId="0" xfId="0" applyFont="1" applyAlignment="1">
      <alignment vertical="center"/>
    </xf>
    <xf numFmtId="169" fontId="3" fillId="0" borderId="0" xfId="0" applyNumberFormat="1" applyFont="1" applyAlignment="1">
      <alignment vertical="center"/>
    </xf>
    <xf numFmtId="168" fontId="3" fillId="0" borderId="0" xfId="0" applyNumberFormat="1" applyFont="1" applyAlignment="1">
      <alignment vertical="center"/>
    </xf>
    <xf numFmtId="175" fontId="3" fillId="0" borderId="0" xfId="0" applyNumberFormat="1" applyFont="1"/>
    <xf numFmtId="174" fontId="3" fillId="0" borderId="0" xfId="0" applyNumberFormat="1" applyFont="1"/>
    <xf numFmtId="173" fontId="12" fillId="0" borderId="0" xfId="0" applyNumberFormat="1" applyFont="1" applyAlignment="1">
      <alignment vertical="center" wrapText="1"/>
    </xf>
    <xf numFmtId="173" fontId="3" fillId="0" borderId="0" xfId="0" applyNumberFormat="1" applyFont="1" applyAlignment="1">
      <alignment vertical="center" wrapText="1"/>
    </xf>
    <xf numFmtId="9" fontId="3" fillId="0" borderId="0" xfId="1" applyFont="1" applyAlignment="1">
      <alignment vertical="center" wrapText="1"/>
    </xf>
    <xf numFmtId="9" fontId="3" fillId="0" borderId="0" xfId="1" applyFont="1" applyBorder="1" applyAlignment="1">
      <alignment vertical="center" wrapText="1"/>
    </xf>
    <xf numFmtId="167" fontId="3" fillId="0" borderId="0" xfId="0" applyNumberFormat="1" applyFont="1" applyAlignment="1">
      <alignment vertical="center" wrapText="1"/>
    </xf>
    <xf numFmtId="167" fontId="12" fillId="0" borderId="0" xfId="0" applyNumberFormat="1" applyFont="1" applyAlignment="1">
      <alignment vertical="center" wrapText="1"/>
    </xf>
    <xf numFmtId="167" fontId="2" fillId="0" borderId="0" xfId="0" applyNumberFormat="1" applyFont="1" applyAlignment="1">
      <alignment vertical="center" wrapText="1"/>
    </xf>
    <xf numFmtId="176" fontId="2" fillId="0" borderId="0" xfId="0" applyNumberFormat="1" applyFont="1" applyAlignment="1">
      <alignment vertical="center"/>
    </xf>
    <xf numFmtId="176" fontId="2" fillId="0" borderId="0" xfId="0" applyNumberFormat="1" applyFont="1"/>
    <xf numFmtId="177" fontId="13" fillId="0" borderId="0" xfId="0" applyNumberFormat="1" applyFont="1" applyAlignment="1">
      <alignment vertical="center"/>
    </xf>
    <xf numFmtId="0" fontId="25"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28" fillId="0" borderId="0" xfId="0" applyFont="1"/>
    <xf numFmtId="177" fontId="2" fillId="0" borderId="0" xfId="0" applyNumberFormat="1" applyFont="1" applyAlignment="1">
      <alignment vertical="center"/>
    </xf>
    <xf numFmtId="177" fontId="12" fillId="0" borderId="0" xfId="0" applyNumberFormat="1" applyFont="1" applyAlignment="1">
      <alignment vertical="center"/>
    </xf>
    <xf numFmtId="0" fontId="4"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0" xfId="0" applyAlignment="1">
      <alignment vertical="center" wrapText="1"/>
    </xf>
  </cellXfs>
  <cellStyles count="2">
    <cellStyle name="Normal" xfId="0" builtinId="0"/>
    <cellStyle name="Per cent" xfId="1" builtinId="5"/>
  </cellStyles>
  <dxfs count="297">
    <dxf>
      <font>
        <b/>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border diagonalUp="0" diagonalDown="0" outline="0">
        <left style="medium">
          <color rgb="FFBDD6EE"/>
        </left>
        <right style="medium">
          <color rgb="FFBDD6EE"/>
        </right>
        <top/>
        <bottom style="medium">
          <color rgb="FFBDD6EE"/>
        </bottom>
      </border>
    </dxf>
    <dxf>
      <border outline="0">
        <bottom style="medium">
          <color rgb="FFBDD6EE"/>
        </bottom>
      </border>
    </dxf>
    <dxf>
      <font>
        <b/>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0.5"/>
        <color rgb="FF000000"/>
        <name val="Calibri"/>
        <family val="2"/>
        <scheme val="none"/>
      </font>
      <alignment horizontal="general" vertical="center" textRotation="0" wrapText="0" indent="0" justifyLastLine="0" shrinkToFit="0" readingOrder="0"/>
      <border diagonalUp="0" diagonalDown="0" outline="0">
        <left style="medium">
          <color rgb="FFBDD6EE"/>
        </left>
        <right style="medium">
          <color rgb="FFBDD6EE"/>
        </right>
        <top/>
        <bottom/>
      </border>
    </dxf>
    <dxf>
      <border outline="0">
        <bottom style="medium">
          <color rgb="FFBDD6EE"/>
        </bottom>
      </border>
    </dxf>
    <dxf>
      <font>
        <b/>
        <i val="0"/>
        <strike val="0"/>
        <condense val="0"/>
        <extend val="0"/>
        <outline val="0"/>
        <shadow val="0"/>
        <u val="none"/>
        <vertAlign val="baseline"/>
        <sz val="10.5"/>
        <color rgb="FF000000"/>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border diagonalUp="0" diagonalDown="0" outline="0">
        <left style="medium">
          <color rgb="FFBDD6EE"/>
        </left>
        <right style="medium">
          <color rgb="FFBDD6EE"/>
        </right>
        <top/>
        <bottom style="medium">
          <color rgb="FFBDD6EE"/>
        </bottom>
      </border>
    </dxf>
    <dxf>
      <border outline="0">
        <bottom style="medium">
          <color rgb="FFBDD6EE"/>
        </bottom>
      </border>
    </dxf>
    <dxf>
      <font>
        <b/>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border outline="0">
        <bottom style="medium">
          <color rgb="FFBDD6EE"/>
        </bottom>
      </border>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border outline="0">
        <bottom style="medium">
          <color rgb="FFBDD6EE"/>
        </bottom>
      </border>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5"/>
        <color theme="1"/>
        <name val="Calibri"/>
        <family val="2"/>
        <scheme val="none"/>
      </font>
      <alignment horizontal="general" vertical="center" textRotation="0" wrapText="0" indent="0" justifyLastLine="0" shrinkToFit="0" readingOrder="0"/>
    </dxf>
    <dxf>
      <border outline="0">
        <bottom style="thin">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7" formatCode="[$-F800]dddd\,\ mmmm\ dd\,\ yyyy"/>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theme="4" tint="0.39997558519241921"/>
        </top>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7" formatCode="[$-F800]dddd\,\ mmmm\ dd\,\ yyyy"/>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theme="4" tint="0.39997558519241921"/>
        </top>
        <bottom/>
      </border>
    </dxf>
    <dxf>
      <numFmt numFmtId="167" formatCode="[$-F800]dddd\,\ mmmm\ dd\,\ yyyy"/>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theme="4" tint="0.39997558519241921"/>
        </top>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numFmt numFmtId="13" formatCode="0%"/>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theme="4" tint="0.39997558519241921"/>
        </top>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theme="4" tint="0.39997558519241921"/>
        </top>
        <bottom/>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fill>
        <patternFill patternType="solid">
          <fgColor theme="4" tint="0.79998168889431442"/>
          <bgColor theme="4" tint="0.79998168889431442"/>
        </patternFill>
      </fill>
      <alignment vertical="center"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70C0"/>
        <name val="Calibri"/>
        <family val="2"/>
        <scheme val="minor"/>
      </font>
      <numFmt numFmtId="165" formatCode="_-[$R-1C09]* #,##0_-;\-[$R-1C09]* #,##0_-;_-[$R-1C09]* &quot;-&quot;??_-;_-@_-"/>
    </dxf>
    <dxf>
      <font>
        <b val="0"/>
        <i val="0"/>
        <strike val="0"/>
        <condense val="0"/>
        <extend val="0"/>
        <outline val="0"/>
        <shadow val="0"/>
        <u val="none"/>
        <vertAlign val="baseline"/>
        <sz val="11"/>
        <color theme="9"/>
        <name val="Calibri (Body)"/>
        <scheme val="none"/>
      </font>
      <numFmt numFmtId="165" formatCode="_-[$R-1C09]* #,##0_-;\-[$R-1C09]* #,##0_-;_-[$R-1C09]* &quot;-&quot;??_-;_-@_-"/>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0070C0"/>
        <name val="Calibri"/>
        <family val="2"/>
        <scheme val="minor"/>
      </font>
      <numFmt numFmtId="174" formatCode="[$CHF-807]\ #,##0;[$CHF-807]\ \-#,##0"/>
    </dxf>
    <dxf>
      <font>
        <b val="0"/>
        <i val="0"/>
        <strike val="0"/>
        <condense val="0"/>
        <extend val="0"/>
        <outline val="0"/>
        <shadow val="0"/>
        <u val="none"/>
        <vertAlign val="baseline"/>
        <sz val="11"/>
        <color rgb="FF0070C0"/>
        <name val="Calibri"/>
        <family val="2"/>
        <scheme val="minor"/>
      </font>
      <numFmt numFmtId="175" formatCode="_([$$-409]* #,##0_);_([$$-409]* \(#,##0\);_([$$-409]* &quot;-&quot;??_);_(@_)"/>
    </dxf>
    <dxf>
      <font>
        <b val="0"/>
        <i val="0"/>
        <strike val="0"/>
        <condense val="0"/>
        <extend val="0"/>
        <outline val="0"/>
        <shadow val="0"/>
        <u val="none"/>
        <vertAlign val="baseline"/>
        <sz val="11"/>
        <color theme="9"/>
        <name val="Calibri (Body)"/>
        <scheme val="none"/>
      </font>
      <numFmt numFmtId="166" formatCode="_-[$$-409]* #,##0_ ;_-[$$-409]* \-#,##0\ ;_-[$$-409]* &quot;-&quot;??_ ;_-@_ "/>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0070C0"/>
        <name val="Calibri (Body)"/>
        <scheme val="none"/>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9"/>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i val="0"/>
        <strike val="0"/>
        <condense val="0"/>
        <extend val="0"/>
        <outline val="0"/>
        <shadow val="0"/>
        <u val="none"/>
        <vertAlign val="baseline"/>
        <sz val="11"/>
        <color rgb="FF0070C0"/>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border>
    </dxf>
    <dxf>
      <border outline="0">
        <top style="thin">
          <color theme="4" tint="0.39997558519241921"/>
        </top>
      </border>
    </dxf>
    <dxf>
      <alignment horizontal="general" vertical="bottom" textRotation="0" wrapText="1" indent="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rgb="FF0070C0"/>
        <name val="Calibri (Body)"/>
        <scheme val="none"/>
      </font>
      <fill>
        <patternFill patternType="solid">
          <fgColor theme="4" tint="0.79998168889431442"/>
          <bgColor theme="4" tint="0.79998168889431442"/>
        </patternFill>
      </fill>
      <alignment horizontal="general" vertical="bottom"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family val="2"/>
        <scheme val="minor"/>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family val="2"/>
        <scheme val="minor"/>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i val="0"/>
        <strike val="0"/>
        <condense val="0"/>
        <extend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family val="2"/>
        <scheme val="minor"/>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family val="2"/>
        <scheme val="minor"/>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i val="0"/>
        <strike val="0"/>
        <condense val="0"/>
        <extend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numFmt numFmtId="170" formatCode="[$€-2]\ #,##0"/>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family val="2"/>
        <scheme val="minor"/>
      </font>
      <numFmt numFmtId="170" formatCode="[$€-2]\ #,##0"/>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numFmt numFmtId="169" formatCode="#,##0\ [$kr.-406]"/>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9" formatCode="#,##0\ [$kr.-406]"/>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vertical="center" textRotation="0" indent="0" justifyLastLine="0" shrinkToFit="0" readingOrder="0"/>
    </dxf>
    <dxf>
      <border outline="0">
        <right style="thin">
          <color theme="4" tint="0.39997558519241921"/>
        </right>
      </border>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font>
        <b val="0"/>
        <i val="0"/>
        <strike val="0"/>
        <condense val="0"/>
        <extend val="0"/>
        <outline val="0"/>
        <shadow val="0"/>
        <u val="none"/>
        <vertAlign val="baseline"/>
        <sz val="11"/>
        <color rgb="FF0070C0"/>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rgb="FF0070C0"/>
        <name val="Calibri"/>
        <family val="2"/>
        <scheme val="minor"/>
      </font>
      <numFmt numFmtId="165" formatCode="_-[$R-1C09]* #,##0_-;\-[$R-1C09]* #,##0_-;_-[$R-1C09]* &quot;-&quot;??_-;_-@_-"/>
    </dxf>
    <dxf>
      <font>
        <b val="0"/>
        <i val="0"/>
        <strike val="0"/>
        <condense val="0"/>
        <extend val="0"/>
        <outline val="0"/>
        <shadow val="0"/>
        <u val="none"/>
        <vertAlign val="baseline"/>
        <sz val="11"/>
        <color rgb="FF0070C0"/>
        <name val="Calibri (Body)"/>
        <scheme val="none"/>
      </font>
      <numFmt numFmtId="165" formatCode="_-[$R-1C09]* #,##0_-;\-[$R-1C09]* #,##0_-;_-[$R-1C09]* &quot;-&quot;??_-;_-@_-"/>
      <fill>
        <patternFill patternType="none">
          <fgColor indexed="64"/>
          <bgColor auto="1"/>
        </patternFill>
      </fill>
      <alignment horizontal="general" vertical="center" textRotation="0" indent="0" justifyLastLine="0" shrinkToFit="0" readingOrder="0"/>
    </dxf>
    <dxf>
      <font>
        <b/>
        <i val="0"/>
        <strike val="0"/>
        <condense val="0"/>
        <extend val="0"/>
        <outline val="0"/>
        <shadow val="0"/>
        <u val="none"/>
        <vertAlign val="baseline"/>
        <sz val="11"/>
        <color rgb="FF0070C0"/>
        <name val="Calibri"/>
        <family val="2"/>
        <scheme val="minor"/>
      </font>
      <numFmt numFmtId="166" formatCode="_-[$$-409]* #,##0_ ;_-[$$-409]* \-#,##0\ ;_-[$$-409]* &quot;-&quot;??_ ;_-@_ "/>
    </dxf>
    <dxf>
      <font>
        <b val="0"/>
        <i val="0"/>
        <strike val="0"/>
        <condense val="0"/>
        <extend val="0"/>
        <outline val="0"/>
        <shadow val="0"/>
        <u val="none"/>
        <vertAlign val="baseline"/>
        <sz val="11"/>
        <color rgb="FF0070C0"/>
        <name val="Calibri (Body)"/>
        <scheme val="none"/>
      </font>
      <numFmt numFmtId="166" formatCode="_-[$$-409]* #,##0_ ;_-[$$-409]* \-#,##0\ ;_-[$$-409]* &quot;-&quot;??_ ;_-@_ "/>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bottom" textRotation="0" wrapText="1" indent="0" justifyLastLine="0" shrinkToFit="0" readingOrder="0"/>
    </dxf>
    <dxf>
      <font>
        <b val="0"/>
        <strike val="0"/>
        <outline val="0"/>
        <shadow val="0"/>
        <u val="none"/>
        <vertAlign val="baseline"/>
        <sz val="11"/>
        <color rgb="FF0070C0"/>
        <name val="Calibri (Body)"/>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fill>
        <patternFill patternType="none">
          <fgColor indexed="64"/>
          <bgColor auto="1"/>
        </patternFill>
      </fill>
      <alignment horizontal="general" vertical="center" textRotation="0" wrapText="0" indent="0" justifyLastLine="0" shrinkToFit="0" readingOrder="0"/>
    </dxf>
    <dxf>
      <font>
        <b val="0"/>
        <strike val="0"/>
        <outline val="0"/>
        <shadow val="0"/>
        <u val="none"/>
        <vertAlign val="baseline"/>
        <sz val="11"/>
        <color rgb="FF0070C0"/>
        <name val="Calibri"/>
        <family val="2"/>
        <scheme val="minor"/>
      </font>
      <fill>
        <patternFill patternType="none">
          <fgColor indexed="64"/>
          <bgColor auto="1"/>
        </patternFill>
      </fill>
      <alignment horizontal="general" vertical="center" textRotation="0" wrapText="0" indent="0" justifyLastLine="0" shrinkToFit="0" readingOrder="0"/>
    </dxf>
    <dxf>
      <border outline="0">
        <right style="thin">
          <color theme="4" tint="0.39997558519241921"/>
        </right>
      </border>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70" formatCode="[$€-2]\ #,##0"/>
    </dxf>
    <dxf>
      <font>
        <b val="0"/>
        <i val="0"/>
        <strike val="0"/>
        <condense val="0"/>
        <extend val="0"/>
        <outline val="0"/>
        <shadow val="0"/>
        <u val="none"/>
        <vertAlign val="baseline"/>
        <sz val="11"/>
        <color rgb="FF0070C0"/>
        <name val="Calibri"/>
        <family val="2"/>
        <scheme val="minor"/>
      </font>
      <numFmt numFmtId="170" formatCode="[$€-2]\ #,##0"/>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6" formatCode="_-[$$-409]* #,##0_ ;_-[$$-409]* \-#,##0\ ;_-[$$-409]* &quot;-&quot;??_ ;_-@_ "/>
    </dxf>
    <dxf>
      <font>
        <b val="0"/>
        <i val="0"/>
        <strike val="0"/>
        <condense val="0"/>
        <extend val="0"/>
        <outline val="0"/>
        <shadow val="0"/>
        <u val="none"/>
        <vertAlign val="baseline"/>
        <sz val="11"/>
        <color rgb="FF0070C0"/>
        <name val="Calibri"/>
        <family val="2"/>
        <scheme val="minor"/>
      </font>
      <numFmt numFmtId="166" formatCode="_-[$$-409]* #,##0_ ;_-[$$-409]* \-#,##0\ ;_-[$$-409]* &quot;-&quot;??_ ;_-@_ "/>
      <alignment horizontal="general" vertical="center" textRotation="0" indent="0" justifyLastLine="0" shrinkToFit="0" readingOrder="0"/>
    </dxf>
    <dxf>
      <font>
        <b val="0"/>
        <i val="0"/>
        <strike val="0"/>
        <condense val="0"/>
        <extend val="0"/>
        <outline val="0"/>
        <shadow val="0"/>
        <u val="none"/>
        <vertAlign val="baseline"/>
        <sz val="11"/>
        <color rgb="FF0070C0"/>
        <name val="Calibri (Body)"/>
        <scheme val="none"/>
      </font>
      <alignment horizontal="general" vertical="bottom"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70C0"/>
        <name val="Calibri"/>
        <family val="2"/>
        <scheme val="minor"/>
      </font>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rgb="FF0070C0"/>
        <name val="Calibri"/>
        <family val="2"/>
        <scheme val="minor"/>
      </font>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i val="0"/>
        <strike val="0"/>
        <condense val="0"/>
        <extend val="0"/>
        <outline val="0"/>
        <shadow val="0"/>
        <u val="none"/>
        <vertAlign val="baseline"/>
        <sz val="11"/>
        <color rgb="FF0070C0"/>
        <name val="Calibri (Body)"/>
        <scheme val="none"/>
      </font>
      <numFmt numFmtId="165" formatCode="_-[$R-1C09]* #,##0_-;\-[$R-1C09]* #,##0_-;_-[$R-1C09]* &quot;-&quot;??_-;_-@_-"/>
    </dxf>
    <dxf>
      <font>
        <b val="0"/>
        <i val="0"/>
        <strike val="0"/>
        <condense val="0"/>
        <extend val="0"/>
        <outline val="0"/>
        <shadow val="0"/>
        <u val="none"/>
        <vertAlign val="baseline"/>
        <sz val="11"/>
        <color rgb="FF0070C0"/>
        <name val="Calibri (Body)"/>
        <scheme val="none"/>
      </font>
      <numFmt numFmtId="165" formatCode="_-[$R-1C09]* #,##0_-;\-[$R-1C09]* #,##0_-;_-[$R-1C09]* &quot;-&quot;??_-;_-@_-"/>
      <fill>
        <patternFill patternType="none">
          <fgColor indexed="64"/>
          <bgColor auto="1"/>
        </patternFill>
      </fill>
      <alignment horizontal="general" vertical="center" textRotation="0" indent="0" justifyLastLine="0" shrinkToFit="0" readingOrder="0"/>
    </dxf>
    <dxf>
      <font>
        <b/>
        <i val="0"/>
        <strike val="0"/>
        <condense val="0"/>
        <extend val="0"/>
        <outline val="0"/>
        <shadow val="0"/>
        <u val="none"/>
        <vertAlign val="baseline"/>
        <sz val="11"/>
        <color rgb="FF0070C0"/>
        <name val="Calibri"/>
        <family val="2"/>
        <scheme val="minor"/>
      </font>
      <numFmt numFmtId="170" formatCode="[$€-2]\ #,##0"/>
    </dxf>
    <dxf>
      <font>
        <b val="0"/>
        <strike val="0"/>
        <outline val="0"/>
        <shadow val="0"/>
        <u val="none"/>
        <vertAlign val="baseline"/>
        <sz val="11"/>
        <color rgb="FF0070C0"/>
      </font>
      <numFmt numFmtId="170" formatCode="[$€-2]\ #,##0"/>
      <fill>
        <patternFill patternType="none">
          <fgColor indexed="64"/>
          <bgColor auto="1"/>
        </patternFill>
      </fill>
      <alignment horizontal="general" vertical="center" textRotation="0" indent="0" justifyLastLine="0" shrinkToFit="0" readingOrder="0"/>
    </dxf>
    <dxf>
      <font>
        <b/>
        <i val="0"/>
        <strike val="0"/>
        <condense val="0"/>
        <extend val="0"/>
        <outline val="0"/>
        <shadow val="0"/>
        <u val="none"/>
        <vertAlign val="baseline"/>
        <sz val="11"/>
        <color rgb="FF0070C0"/>
        <name val="Calibri (Body)"/>
        <scheme val="none"/>
      </font>
      <numFmt numFmtId="166" formatCode="_-[$$-409]* #,##0_ ;_-[$$-409]* \-#,##0\ ;_-[$$-409]* &quot;-&quot;??_ ;_-@_ "/>
    </dxf>
    <dxf>
      <font>
        <b val="0"/>
        <i val="0"/>
        <strike val="0"/>
        <condense val="0"/>
        <extend val="0"/>
        <outline val="0"/>
        <shadow val="0"/>
        <u val="none"/>
        <vertAlign val="baseline"/>
        <sz val="11"/>
        <color rgb="FF0070C0"/>
        <name val="Calibri"/>
        <family val="2"/>
        <scheme val="minor"/>
      </font>
      <numFmt numFmtId="166" formatCode="_-[$$-409]* #,##0_ ;_-[$$-409]* \-#,##0\ ;_-[$$-409]* &quot;-&quot;??_ ;_-@_ "/>
      <fill>
        <patternFill patternType="none">
          <fgColor indexed="64"/>
          <bgColor auto="1"/>
        </patternFill>
      </fill>
      <alignment horizontal="general" vertical="center" textRotation="0"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strike val="0"/>
        <outline val="0"/>
        <shadow val="0"/>
        <u val="none"/>
        <vertAlign val="baseline"/>
        <sz val="11"/>
        <color rgb="FF0070C0"/>
      </font>
      <fill>
        <patternFill patternType="none">
          <fgColor indexed="64"/>
          <bgColor auto="1"/>
        </patternFill>
      </fill>
      <alignment horizontal="general" vertical="center" textRotation="0"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fill>
        <patternFill patternType="none">
          <fgColor indexed="64"/>
          <bgColor auto="1"/>
        </patternFill>
      </fill>
      <alignment horizontal="general" vertical="center" textRotation="0" indent="0" justifyLastLine="0" shrinkToFit="0" readingOrder="0"/>
    </dxf>
    <dxf>
      <font>
        <b val="0"/>
        <strike val="0"/>
        <outline val="0"/>
        <shadow val="0"/>
        <u val="none"/>
        <vertAlign val="baseline"/>
        <sz val="11"/>
        <color rgb="FF0070C0"/>
        <name val="Calibri"/>
        <family val="2"/>
        <scheme val="minor"/>
      </font>
      <fill>
        <patternFill patternType="none">
          <fgColor indexed="64"/>
          <bgColor auto="1"/>
        </patternFill>
      </fill>
      <alignment horizontal="general" vertical="center" textRotation="0" indent="0" justifyLastLine="0" shrinkToFit="0" readingOrder="0"/>
    </dxf>
    <dxf>
      <border outline="0">
        <right style="thin">
          <color theme="4" tint="0.39997558519241921"/>
        </right>
      </border>
    </dxf>
    <dxf>
      <font>
        <strike val="0"/>
        <outline val="0"/>
        <shadow val="0"/>
        <u val="none"/>
        <vertAlign val="baseline"/>
        <sz val="11"/>
        <color rgb="FF0070C0"/>
      </font>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name val="Calibri (Body)"/>
        <scheme val="none"/>
      </font>
      <numFmt numFmtId="167" formatCode="[$-F800]dddd\,\ mmmm\ dd\,\ yyyy"/>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numFmt numFmtId="13" formatCode="0%"/>
      <alignment horizontal="general" vertical="bottom" textRotation="0" wrapText="1" indent="0" justifyLastLine="0" shrinkToFit="0" readingOrder="0"/>
    </dxf>
    <dxf>
      <font>
        <b val="0"/>
        <strike val="0"/>
        <outline val="0"/>
        <shadow val="0"/>
        <u val="none"/>
        <vertAlign val="baseline"/>
        <sz val="11"/>
        <color rgb="FF0070C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numFmt numFmtId="164" formatCode="_-[$R-1C09]* #,##0.00_-;\-[$R-1C09]* #,##0.00_-;_-[$R-1C09]* &quot;-&quot;??_-;_-@_-"/>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vertical="center" textRotation="0" indent="0" justifyLastLine="0" shrinkToFit="0" readingOrder="0"/>
    </dxf>
    <dxf>
      <font>
        <b val="0"/>
        <i val="0"/>
        <strike val="0"/>
        <condense val="0"/>
        <extend val="0"/>
        <outline val="0"/>
        <shadow val="0"/>
        <u val="none"/>
        <vertAlign val="baseline"/>
        <sz val="11"/>
        <color rgb="FF0070C0"/>
        <name val="Calibri (Body)"/>
        <scheme val="none"/>
      </font>
      <numFmt numFmtId="165" formatCode="_-[$R-1C09]* #,##0_-;\-[$R-1C09]* #,##0_-;_-[$R-1C09]* &quot;-&quot;??_-;_-@_-"/>
    </dxf>
    <dxf>
      <font>
        <b val="0"/>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wrapText="0" indent="0" justifyLastLine="0" shrinkToFit="0" readingOrder="0"/>
    </dxf>
    <dxf>
      <font>
        <b/>
        <i val="0"/>
        <strike val="0"/>
        <condense val="0"/>
        <extend val="0"/>
        <outline val="0"/>
        <shadow val="0"/>
        <u val="none"/>
        <vertAlign val="baseline"/>
        <sz val="11"/>
        <color rgb="FF0070C0"/>
        <name val="Calibri"/>
        <family val="2"/>
        <scheme val="minor"/>
      </font>
      <numFmt numFmtId="172" formatCode="_-[$£-809]* #,##0_-;\-[$£-809]* #,##0_-;_-[$£-809]* &quot;-&quot;??_-;_-@_-"/>
    </dxf>
    <dxf>
      <font>
        <b val="0"/>
        <i val="0"/>
        <strike val="0"/>
        <condense val="0"/>
        <extend val="0"/>
        <outline val="0"/>
        <shadow val="0"/>
        <u val="none"/>
        <vertAlign val="baseline"/>
        <sz val="11"/>
        <color rgb="FF0070C0"/>
        <name val="Calibri"/>
        <family val="2"/>
        <scheme val="minor"/>
      </font>
      <numFmt numFmtId="166" formatCode="_-[$$-409]* #,##0_ ;_-[$$-409]* \-#,##0\ ;_-[$$-409]* &quot;-&quot;??_ ;_-@_ "/>
      <alignment horizontal="general" vertical="center" textRotation="0" wrapText="0" indent="0" justifyLastLine="0" shrinkToFit="0" readingOrder="0"/>
    </dxf>
    <dxf>
      <font>
        <b/>
        <i val="0"/>
        <strike val="0"/>
        <condense val="0"/>
        <extend val="0"/>
        <outline val="0"/>
        <shadow val="0"/>
        <u val="none"/>
        <vertAlign val="baseline"/>
        <sz val="11"/>
        <color rgb="FF0070C0"/>
        <name val="Calibri (Body)"/>
        <scheme val="none"/>
      </font>
      <numFmt numFmtId="166" formatCode="_-[$$-409]* #,##0_ ;_-[$$-409]* \-#,##0\ ;_-[$$-409]* &quot;-&quot;??_ ;_-@_ "/>
    </dxf>
    <dxf>
      <font>
        <b val="0"/>
        <i val="0"/>
        <strike val="0"/>
        <condense val="0"/>
        <extend val="0"/>
        <outline val="0"/>
        <shadow val="0"/>
        <u val="none"/>
        <vertAlign val="baseline"/>
        <sz val="11"/>
        <color rgb="FF0070C0"/>
        <name val="Calibri (Body)"/>
        <scheme val="none"/>
      </font>
      <numFmt numFmtId="166" formatCode="_-[$$-409]* #,##0_ ;_-[$$-409]* \-#,##0\ ;_-[$$-409]* &quot;-&quot;??_ ;_-@_ "/>
      <alignment horizontal="general" vertical="center" textRotation="0" wrapText="0"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strike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Body)"/>
        <scheme val="none"/>
      </font>
      <alignment horizontal="general" vertical="center" textRotation="0" wrapText="1" indent="0" justifyLastLine="0" shrinkToFit="0" readingOrder="0"/>
    </dxf>
    <dxf>
      <font>
        <b/>
        <i val="0"/>
        <strike val="0"/>
        <condense val="0"/>
        <extend val="0"/>
        <outline val="0"/>
        <shadow val="0"/>
        <u val="none"/>
        <vertAlign val="baseline"/>
        <sz val="11"/>
        <color theme="9"/>
        <name val="Calibri"/>
        <family val="2"/>
        <scheme val="minor"/>
      </font>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font>
        <strike val="0"/>
        <outline val="0"/>
        <shadow val="0"/>
        <u val="none"/>
        <vertAlign val="baseline"/>
        <sz val="11"/>
        <color rgb="FF0070C0"/>
      </font>
      <alignment horizontal="general" vertical="center" textRotation="0" indent="0" justifyLastLine="0" shrinkToFit="0" readingOrder="0"/>
    </dxf>
    <dxf>
      <font>
        <strike val="0"/>
        <outline val="0"/>
        <shadow val="0"/>
        <u val="none"/>
        <vertAlign val="baseline"/>
        <sz val="11"/>
        <color rgb="FF0070C0"/>
      </font>
      <alignment horizontal="general" vertical="center" textRotation="0" indent="0" justifyLastLine="0" shrinkToFit="0" readingOrder="0"/>
    </dxf>
    <dxf>
      <font>
        <strike val="0"/>
        <outline val="0"/>
        <shadow val="0"/>
        <u val="none"/>
        <vertAlign val="baseline"/>
        <sz val="11"/>
        <color rgb="FFC00000"/>
      </font>
      <alignment horizontal="general" vertical="center" textRotation="0" wrapText="1" indent="0" justifyLastLine="0" shrinkToFit="0" readingOrder="0"/>
    </dxf>
    <dxf>
      <font>
        <b val="0"/>
        <strike val="0"/>
        <outline val="0"/>
        <shadow val="0"/>
        <u val="none"/>
        <vertAlign val="baseline"/>
        <sz val="11"/>
        <color rgb="FF0070C0"/>
        <name val="Calibri"/>
        <family val="2"/>
        <scheme val="minor"/>
      </font>
      <alignment vertical="center" textRotation="0" indent="0" justifyLastLine="0" shrinkToFit="0" readingOrder="0"/>
    </dxf>
    <dxf>
      <font>
        <b val="0"/>
        <strike val="0"/>
        <outline val="0"/>
        <shadow val="0"/>
        <u val="none"/>
        <vertAlign val="baseline"/>
        <sz val="11"/>
        <color rgb="FF0070C0"/>
        <name val="Calibri (Body)"/>
        <scheme val="none"/>
      </font>
      <numFmt numFmtId="164" formatCode="_-[$R-1C09]* #,##0.00_-;\-[$R-1C09]* #,##0.00_-;_-[$R-1C09]* &quot;-&quot;??_-;_-@_-"/>
      <alignment horizontal="general" vertical="center" textRotation="0" wrapText="1" indent="0" justifyLastLine="0" shrinkToFit="0" readingOrder="0"/>
    </dxf>
    <dxf>
      <font>
        <b val="0"/>
        <strike val="0"/>
        <outline val="0"/>
        <shadow val="0"/>
        <u val="none"/>
        <vertAlign val="baseline"/>
        <sz val="11"/>
        <color rgb="FFC00000"/>
        <name val="Calibri"/>
        <family val="2"/>
        <scheme val="minor"/>
      </font>
      <alignment vertical="center" textRotation="0" indent="0" justifyLastLine="0" shrinkToFit="0" readingOrder="0"/>
    </dxf>
    <dxf>
      <font>
        <b/>
        <i val="0"/>
        <strike val="0"/>
        <condense val="0"/>
        <extend val="0"/>
        <outline val="0"/>
        <shadow val="0"/>
        <u val="none"/>
        <vertAlign val="baseline"/>
        <sz val="11"/>
        <color rgb="FF0070C0"/>
        <name val="Calibri (Body)"/>
        <scheme val="none"/>
      </font>
      <numFmt numFmtId="165" formatCode="_-[$R-1C09]* #,##0_-;\-[$R-1C09]* #,##0_-;_-[$R-1C09]* &quot;-&quot;??_-;_-@_-"/>
    </dxf>
    <dxf>
      <font>
        <b/>
        <i val="0"/>
        <strike val="0"/>
        <condense val="0"/>
        <extend val="0"/>
        <outline val="0"/>
        <shadow val="0"/>
        <u val="none"/>
        <vertAlign val="baseline"/>
        <sz val="11"/>
        <color rgb="FF0070C0"/>
        <name val="Calibri (Body)"/>
        <scheme val="none"/>
      </font>
      <numFmt numFmtId="165" formatCode="_-[$R-1C09]* #,##0_-;\-[$R-1C09]* #,##0_-;_-[$R-1C09]* &quot;-&quot;??_-;_-@_-"/>
      <alignment horizontal="general" vertical="center" textRotation="0" indent="0" justifyLastLine="0" shrinkToFit="0" readingOrder="0"/>
    </dxf>
    <dxf>
      <font>
        <b/>
        <i val="0"/>
        <strike val="0"/>
        <condense val="0"/>
        <extend val="0"/>
        <outline val="0"/>
        <shadow val="0"/>
        <u val="none"/>
        <vertAlign val="baseline"/>
        <sz val="11"/>
        <color rgb="FF0070C0"/>
        <name val="Calibri"/>
        <family val="2"/>
        <scheme val="minor"/>
      </font>
      <numFmt numFmtId="170" formatCode="[$€-2]\ #,##0"/>
    </dxf>
    <dxf>
      <font>
        <b/>
        <strike val="0"/>
        <outline val="0"/>
        <shadow val="0"/>
        <u val="none"/>
        <vertAlign val="baseline"/>
        <sz val="11"/>
        <color rgb="FF0070C0"/>
      </font>
      <numFmt numFmtId="170" formatCode="[$€-2]\ #,##0"/>
      <alignment horizontal="general" vertical="center" textRotation="0" indent="0" justifyLastLine="0" shrinkToFit="0" readingOrder="0"/>
    </dxf>
    <dxf>
      <font>
        <b/>
        <i val="0"/>
        <strike val="0"/>
        <condense val="0"/>
        <extend val="0"/>
        <outline val="0"/>
        <shadow val="0"/>
        <u val="none"/>
        <vertAlign val="baseline"/>
        <sz val="11"/>
        <color rgb="FF0070C0"/>
        <name val="Calibri"/>
        <family val="2"/>
        <scheme val="minor"/>
      </font>
      <numFmt numFmtId="166" formatCode="_-[$$-409]* #,##0_ ;_-[$$-409]* \-#,##0\ ;_-[$$-409]* &quot;-&quot;??_ ;_-@_ "/>
    </dxf>
    <dxf>
      <font>
        <b/>
        <strike val="0"/>
        <outline val="0"/>
        <shadow val="0"/>
        <u val="none"/>
        <vertAlign val="baseline"/>
        <sz val="11"/>
        <color rgb="FF0070C0"/>
      </font>
      <alignment horizontal="general" vertical="center" textRotation="0" indent="0" justifyLastLine="0" shrinkToFit="0" readingOrder="0"/>
    </dxf>
    <dxf>
      <font>
        <b val="0"/>
        <strike val="0"/>
        <outline val="0"/>
        <shadow val="0"/>
        <u val="none"/>
        <vertAlign val="baseline"/>
        <sz val="11"/>
        <color rgb="FF0070C0"/>
      </font>
      <alignment horizontal="general" vertical="center" textRotation="0" indent="0" justifyLastLine="0" shrinkToFit="0" readingOrder="0"/>
    </dxf>
    <dxf>
      <font>
        <b val="0"/>
        <strike val="0"/>
        <outline val="0"/>
        <shadow val="0"/>
        <u val="none"/>
        <vertAlign val="baseline"/>
        <sz val="11"/>
        <color rgb="FF0070C0"/>
      </font>
      <alignment horizontal="general" vertical="center" textRotation="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font>
        <b val="0"/>
        <strike val="0"/>
        <outline val="0"/>
        <shadow val="0"/>
        <u val="none"/>
        <vertAlign val="baseline"/>
        <sz val="11"/>
        <color rgb="FF0070C0"/>
        <name val="Calibri"/>
        <family val="2"/>
        <scheme val="minor"/>
      </font>
      <alignment horizontal="general" vertical="center" textRotation="0" indent="0" justifyLastLine="0" shrinkToFit="0" readingOrder="0"/>
    </dxf>
    <dxf>
      <border outline="0">
        <right style="thin">
          <color theme="4" tint="0.39997558519241921"/>
        </right>
      </border>
    </dxf>
    <dxf>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font>
      <numFmt numFmtId="167" formatCode="[$-F800]dddd\,\ mmmm\ dd\,\ yyyy"/>
      <alignment horizontal="general" vertical="center" textRotation="0" wrapText="1" indent="0" justifyLastLine="0" shrinkToFit="0" readingOrder="0"/>
    </dxf>
    <dxf>
      <numFmt numFmtId="167" formatCode="[$-F800]dddd\,\ mmmm\ dd\,\ yyyy"/>
      <alignment horizontal="general" vertical="bottom" textRotation="0" wrapText="1" indent="0" justifyLastLine="0" shrinkToFit="0" readingOrder="0"/>
    </dxf>
    <dxf>
      <font>
        <b val="0"/>
        <strike val="0"/>
        <outline val="0"/>
        <shadow val="0"/>
        <u val="none"/>
        <vertAlign val="baseline"/>
        <sz val="11"/>
        <color rgb="FF0070C0"/>
      </font>
      <numFmt numFmtId="167" formatCode="[$-F800]dddd\,\ mmmm\ dd\,\ yyyy"/>
      <alignment horizontal="general" vertical="center" textRotation="0" wrapText="1" indent="0" justifyLastLine="0" shrinkToFit="0" readingOrder="0"/>
    </dxf>
    <dxf>
      <alignment horizontal="general" vertical="bottom" textRotation="0" wrapText="1" indent="0" justifyLastLine="0" shrinkToFit="0" readingOrder="0"/>
    </dxf>
    <dxf>
      <font>
        <b val="0"/>
        <strike val="0"/>
        <outline val="0"/>
        <shadow val="0"/>
        <u val="none"/>
        <vertAlign val="baseline"/>
        <sz val="11"/>
        <color rgb="FF0070C0"/>
      </font>
      <numFmt numFmtId="164" formatCode="_-[$R-1C09]* #,##0.00_-;\-[$R-1C09]* #,##0.00_-;_-[$R-1C09]* &quot;-&quot;??_-;_-@_-"/>
      <alignment horizontal="general" vertical="center" textRotation="0" wrapText="1" indent="0" justifyLastLine="0" shrinkToFit="0" readingOrder="0"/>
    </dxf>
    <dxf>
      <numFmt numFmtId="13" formatCode="0%"/>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b val="0"/>
        <strike val="0"/>
        <outline val="0"/>
        <shadow val="0"/>
        <u val="none"/>
        <vertAlign val="baseline"/>
        <sz val="11"/>
        <color rgb="FF0070C0"/>
      </font>
      <numFmt numFmtId="164" formatCode="_-[$R-1C09]* #,##0.00_-;\-[$R-1C09]* #,##0.00_-;_-[$R-1C09]* &quot;-&quot;??_-;_-@_-"/>
      <alignment horizontal="general" vertical="center" textRotation="0" wrapText="1" indent="0" justifyLastLine="0" shrinkToFit="0" readingOrder="0"/>
    </dxf>
    <dxf>
      <font>
        <b val="0"/>
        <strike val="0"/>
        <outline val="0"/>
        <shadow val="0"/>
        <u val="none"/>
        <vertAlign val="baseline"/>
        <sz val="11"/>
        <color rgb="FF0070C0"/>
      </font>
      <alignment vertical="center" textRotation="0" indent="0" justifyLastLine="0" shrinkToFit="0" readingOrder="0"/>
    </dxf>
    <dxf>
      <font>
        <b/>
        <i val="0"/>
        <strike val="0"/>
        <condense val="0"/>
        <extend val="0"/>
        <outline val="0"/>
        <shadow val="0"/>
        <u val="none"/>
        <vertAlign val="baseline"/>
        <sz val="11"/>
        <color rgb="FF0070C0"/>
        <name val="Calibri"/>
        <family val="2"/>
        <scheme val="minor"/>
      </font>
      <numFmt numFmtId="176" formatCode="&quot;R&quot;#,##0"/>
    </dxf>
    <dxf>
      <font>
        <b/>
        <strike val="0"/>
        <outline val="0"/>
        <shadow val="0"/>
        <u val="none"/>
        <vertAlign val="baseline"/>
        <sz val="11"/>
        <color rgb="FF0070C0"/>
      </font>
      <numFmt numFmtId="176" formatCode="&quot;R&quot;#,##0"/>
      <alignment horizontal="general" vertical="center" textRotation="0" wrapText="0" indent="0" justifyLastLine="0" shrinkToFit="0" readingOrder="0"/>
    </dxf>
    <dxf>
      <font>
        <b/>
        <i val="0"/>
        <strike val="0"/>
        <condense val="0"/>
        <extend val="0"/>
        <outline val="0"/>
        <shadow val="0"/>
        <u val="none"/>
        <vertAlign val="baseline"/>
        <sz val="11"/>
        <color rgb="FF0070C0"/>
        <name val="Calibri (Body)"/>
        <scheme val="none"/>
      </font>
      <numFmt numFmtId="177" formatCode="[$$-409]#,##0"/>
      <alignment horizontal="general" vertical="center" textRotation="0" wrapText="0" indent="0" justifyLastLine="0" shrinkToFit="0" readingOrder="0"/>
    </dxf>
    <dxf>
      <font>
        <b/>
        <strike val="0"/>
        <outline val="0"/>
        <shadow val="0"/>
        <u val="none"/>
        <vertAlign val="baseline"/>
        <sz val="11"/>
        <color rgb="FF0070C0"/>
        <name val="Calibri (Body)"/>
        <scheme val="none"/>
      </font>
      <numFmt numFmtId="177" formatCode="[$$-409]#,##0"/>
      <alignment horizontal="general" vertical="center" textRotation="0" wrapText="0" indent="0" justifyLastLine="0" shrinkToFit="0" readingOrder="0"/>
    </dxf>
    <dxf>
      <font>
        <b val="0"/>
        <strike val="0"/>
        <outline val="0"/>
        <shadow val="0"/>
        <u val="none"/>
        <vertAlign val="baseline"/>
        <color rgb="FF0070C0"/>
      </font>
      <alignment horizontal="general" vertical="center" textRotation="0" wrapText="1" indent="0" justifyLastLine="0" shrinkToFit="0" readingOrder="0"/>
    </dxf>
    <dxf>
      <alignment horizontal="general" vertical="bottom" textRotation="0" wrapText="1" indent="0" justifyLastLine="0" shrinkToFit="0" readingOrder="0"/>
    </dxf>
    <dxf>
      <font>
        <b val="0"/>
        <strike val="0"/>
        <outline val="0"/>
        <shadow val="0"/>
        <u val="none"/>
        <vertAlign val="baseline"/>
        <color rgb="FF0070C0"/>
      </font>
      <alignment horizontal="general" vertical="center" textRotation="0" wrapText="1" indent="0" justifyLastLine="0" shrinkToFit="0" readingOrder="0"/>
    </dxf>
    <dxf>
      <font>
        <b val="0"/>
        <strike val="0"/>
        <outline val="0"/>
        <shadow val="0"/>
        <u val="none"/>
        <vertAlign val="baseline"/>
        <color rgb="FF0070C0"/>
      </font>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alcChain" Target="calcChain.xml"/><Relationship Id="rId26"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3.xml"/><Relationship Id="rId34" Type="http://schemas.openxmlformats.org/officeDocument/2006/relationships/customXml" Target="../customXml/item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5" Type="http://schemas.openxmlformats.org/officeDocument/2006/relationships/customXml" Target="../customXml/item7.xml"/><Relationship Id="rId33"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29"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32"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28"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customXml" Target="../customXml/item1.xml"/><Relationship Id="rId31" Type="http://schemas.openxmlformats.org/officeDocument/2006/relationships/customXml" Target="../customXml/item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923556-90FD-4CFB-A275-3507A89601B0}" name="Table1" displayName="Table1" ref="A4:K150" totalsRowCount="1">
  <autoFilter ref="A4:K149" xr:uid="{7D923556-90FD-4CFB-A275-3507A89601B0}"/>
  <tableColumns count="11">
    <tableColumn id="1" xr3:uid="{0DDA1F17-3995-4BE8-A8D5-223B7FCB676A}" name="Priority Area" dataDxfId="296"/>
    <tableColumn id="2" xr3:uid="{D1C403CE-FAFC-4964-8358-84B9D341D34F}" name="Priority Areas (Description)" dataDxfId="295" totalsRowDxfId="294"/>
    <tableColumn id="4" xr3:uid="{9F38C3E0-2FD3-4528-B69A-0D32AC8CC45A}" name="Implementing Entity" dataDxfId="293"/>
    <tableColumn id="8" xr3:uid="{C2C0FA50-5750-4B64-8C30-8AD81264CCF3}" name="Total US$ " totalsRowFunction="sum" dataDxfId="292" totalsRowDxfId="291"/>
    <tableColumn id="17" xr3:uid="{14DBCFDD-2B37-480C-9A4F-772DD13C5C31}" name="Total ZAR" totalsRowFunction="sum" dataDxfId="290" totalsRowDxfId="289">
      <calculatedColumnFormula>Table1[[#This Row],[Total US$ ]]*$E$2</calculatedColumnFormula>
    </tableColumn>
    <tableColumn id="14" xr3:uid="{674B619F-F809-46FE-BF69-28C948A70DCA}" name="Source" dataDxfId="288"/>
    <tableColumn id="5" xr3:uid="{08E500EE-D77F-4C17-A333-0E110C6E4CFA}" name="Parties &amp; Other key beneficiaries" dataDxfId="287" totalsRowDxfId="286"/>
    <tableColumn id="30" xr3:uid="{ADAF1936-6E79-394C-87EE-022819FA53F8}" name="Status - Dynamic" dataDxfId="285" totalsRowDxfId="284" dataCellStyle="Per cent"/>
    <tableColumn id="20" xr3:uid="{A2D777C4-7A40-44CF-9CB5-55CC38DF673D}" name="Activities &amp; Detailed Descriptions " dataDxfId="283" totalsRowDxfId="282"/>
    <tableColumn id="24" xr3:uid="{C7FA001A-5095-43BC-8E3D-F6D383423AFC}" name="Start Date" dataDxfId="281" totalsRowDxfId="280"/>
    <tableColumn id="25" xr3:uid="{C971C359-D328-4A0C-9216-696459B86983}" name="End Date" dataDxfId="279" totalsRowDxfId="27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6A86A38-654A-2A41-A4AA-EA199B7239BF}" name="Table81012131415" displayName="Table81012131415" ref="A3:M8" totalsRowCount="1" tableBorderDxfId="73">
  <autoFilter ref="A3:M7" xr:uid="{56A86A38-654A-2A41-A4AA-EA199B7239BF}"/>
  <tableColumns count="13">
    <tableColumn id="1" xr3:uid="{C7497EC3-1889-EA44-8C6F-D74634AA9E44}" name="Unique ID" dataDxfId="72" totalsRowDxfId="71"/>
    <tableColumn id="2" xr3:uid="{0B5BC9B1-9CCE-F849-B2A3-D4D155615265}" name="Priority Area" dataDxfId="70" totalsRowDxfId="69"/>
    <tableColumn id="3" xr3:uid="{7FD74620-271E-B24C-B969-C8512078254B}" name="Priority Areas (Description)" dataDxfId="68" totalsRowDxfId="67"/>
    <tableColumn id="7" xr3:uid="{9C07CE45-EAA2-9944-A9BE-D456D1527AB8}" name="Implementing Entity" dataDxfId="66" totalsRowDxfId="65"/>
    <tableColumn id="10" xr3:uid="{8A6B43E4-8181-D64F-8595-DED63CC27E6D}" name="Total US$ " totalsRowFunction="sum" dataDxfId="64" totalsRowDxfId="63"/>
    <tableColumn id="26" xr3:uid="{D48B72BD-D225-3C45-864A-5808A5E7BD8B}" name="CAD - Amount" totalsRowFunction="sum" dataDxfId="62" totalsRowDxfId="61"/>
    <tableColumn id="11" xr3:uid="{6356E7FF-B2E3-3340-BDC0-4F9B80999B15}" name="Total ZAR" totalsRowFunction="sum" dataDxfId="60" totalsRowDxfId="59"/>
    <tableColumn id="13" xr3:uid="{018217BB-5CD1-D340-B134-6863596D8720}" name="Source" dataDxfId="58" totalsRowDxfId="57"/>
    <tableColumn id="14" xr3:uid="{E6DA2B3E-FE6E-6140-9DB2-36CAF123B5B7}" name="Parties &amp; Other key beneficiaries" dataDxfId="56" totalsRowDxfId="55"/>
    <tableColumn id="18" xr3:uid="{F71C8EA5-B884-D046-BB43-F726D92BCED2}" name="Status - Dynamic" dataDxfId="54" totalsRowDxfId="53" dataCellStyle="Per cent"/>
    <tableColumn id="20" xr3:uid="{83458E55-0C5D-CA49-AF79-5F5C35FA6A40}" name="Activities &amp; Detailed Descriptions " dataDxfId="52" totalsRowDxfId="51"/>
    <tableColumn id="24" xr3:uid="{F3B61A3D-EA53-A941-B2CC-9CCFD90614CC}" name="Start Date" dataDxfId="50" totalsRowDxfId="49"/>
    <tableColumn id="25" xr3:uid="{DEEC47D9-6988-EE48-8DDC-085A4611DF3F}" name="End Date" dataDxfId="48" totalsRowDxfId="4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29D2FDC-0B79-0449-9AD9-75C5B5BD5567}" name="Table10" displayName="Table10" ref="A3:M13" totalsRowCount="1" headerRowDxfId="46" dataDxfId="44" totalsRowDxfId="42" headerRowBorderDxfId="45" tableBorderDxfId="43" totalsRowBorderDxfId="41">
  <autoFilter ref="A3:M12" xr:uid="{429D2FDC-0B79-0449-9AD9-75C5B5BD5567}"/>
  <tableColumns count="13">
    <tableColumn id="1" xr3:uid="{066E922D-3E5A-D249-9CFC-4AC4E2C50AEC}" name="Unique ID" dataDxfId="40"/>
    <tableColumn id="2" xr3:uid="{CE6CC865-28D0-C546-B899-FB308950935C}" name="Priority Area" dataDxfId="39" totalsRowDxfId="38"/>
    <tableColumn id="3" xr3:uid="{193C6CD6-40EC-2349-BE1A-3B8D4D05BE04}" name="Priority Areas (Description)" dataDxfId="37" totalsRowDxfId="36"/>
    <tableColumn id="7" xr3:uid="{CC80B4B5-B758-4C45-ABD0-59292FF03627}" name="Implementing Entity" dataDxfId="35"/>
    <tableColumn id="10" xr3:uid="{D900D00E-E103-1648-A659-53907BE8FA78}" name="Total US$ " totalsRowFunction="sum" dataDxfId="34" totalsRowDxfId="33">
      <calculatedColumnFormula>Table10[[#This Row],[CHF: Amount]]*$E$2</calculatedColumnFormula>
    </tableColumn>
    <tableColumn id="26" xr3:uid="{F044F7DC-AD88-F947-9101-767D9D52EBA2}" name="CHF: Amount" totalsRowFunction="sum" totalsRowDxfId="32"/>
    <tableColumn id="11" xr3:uid="{914E8DA4-C622-854A-B081-BD2D52BFF51B}" name="Total ZAR" totalsRowFunction="sum" dataDxfId="31" totalsRowDxfId="30">
      <calculatedColumnFormula>Table10[[#This Row],[Total US$ ]]*$G$1</calculatedColumnFormula>
    </tableColumn>
    <tableColumn id="13" xr3:uid="{D2612634-F8C5-D841-902E-105FF7563893}" name="Source" dataDxfId="29" totalsRowDxfId="28"/>
    <tableColumn id="14" xr3:uid="{5EB82D5F-26E0-7642-A6A7-50CD17053580}" name="Parties &amp; Other key beneficiaries" dataDxfId="27" totalsRowDxfId="26"/>
    <tableColumn id="18" xr3:uid="{3B1D23BF-986E-BD45-9154-DF493C4F0B4C}" name="Status - Dynamic" dataDxfId="25" totalsRowDxfId="24" dataCellStyle="Per cent"/>
    <tableColumn id="20" xr3:uid="{F3B35ABA-A76B-7D4D-B2D8-E7974F0E09C3}" name="Activities &amp; Detailed Descriptions " dataDxfId="23" totalsRowDxfId="22"/>
    <tableColumn id="24" xr3:uid="{B846FCEA-2A1F-5A42-921F-052C69FD7DC5}" name="Start Date" dataDxfId="21" totalsRowDxfId="20"/>
    <tableColumn id="25" xr3:uid="{34972879-A1E9-5A43-8918-F47279C83A14}" name="End Date" dataDxfId="19" totalsRow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326D9E-FC4E-5246-A565-9266E5B3E0C6}" name="Table2" displayName="Table2" ref="A1:A11" totalsRowShown="0" dataDxfId="16" headerRowBorderDxfId="17">
  <autoFilter ref="A1:A11" xr:uid="{FB326D9E-FC4E-5246-A565-9266E5B3E0C6}"/>
  <tableColumns count="1">
    <tableColumn id="1" xr3:uid="{BDE94C2F-49B6-CB46-AA7E-BC757408AB80}" name="Priority Areas" dataDxfId="15"/>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D316A7-871A-C847-9ECE-A6616C2C9BA1}" name="Table3" displayName="Table3" ref="C1:C8" totalsRowShown="0" dataDxfId="14" tableBorderDxfId="13">
  <autoFilter ref="C1:C8" xr:uid="{B0D316A7-871A-C847-9ECE-A6616C2C9BA1}"/>
  <tableColumns count="1">
    <tableColumn id="1" xr3:uid="{92212C03-7787-8E42-AD6B-4A9B4AC1FF28}" name="Priority Areas" dataDxfId="1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D3E07F-2B02-1C4A-AFA8-3841AA935B85}" name="Table4" displayName="Table4" ref="E1:E8" totalsRowShown="0" dataDxfId="11" tableBorderDxfId="10">
  <autoFilter ref="E1:E8" xr:uid="{BFD3E07F-2B02-1C4A-AFA8-3841AA935B85}"/>
  <tableColumns count="1">
    <tableColumn id="1" xr3:uid="{A2F3103E-BE66-EF48-A88D-1B24B24EF691}" name="Purpose" dataDxfId="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6B9A23-0C69-AC4B-999F-4EB5053D8140}" name="Table5" displayName="Table5" ref="G1:G5" totalsRowShown="0" dataDxfId="8" tableBorderDxfId="7">
  <autoFilter ref="G1:G5" xr:uid="{1A6B9A23-0C69-AC4B-999F-4EB5053D8140}"/>
  <tableColumns count="1">
    <tableColumn id="1" xr3:uid="{CF654910-F0EA-5C45-8172-387F25E74546}" name="Source Group" dataDxfId="6"/>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05F034-5337-4747-8A85-24DC8C8F4BFE}" name="Table6" displayName="Table6" ref="I1:I15" totalsRowShown="0" dataDxfId="5" tableBorderDxfId="4">
  <autoFilter ref="I1:I15" xr:uid="{C705F034-5337-4747-8A85-24DC8C8F4BFE}"/>
  <tableColumns count="1">
    <tableColumn id="1" xr3:uid="{225836E3-4338-484B-B9AC-87DD9D1A4A60}" name="Source" dataDxfId="3"/>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1CE3F83-E691-274D-9B7E-255435FE7A2D}" name="Table7" displayName="Table7" ref="K1:K6" totalsRowShown="0" dataDxfId="2" tableBorderDxfId="1">
  <autoFilter ref="K1:K6" xr:uid="{D1CE3F83-E691-274D-9B7E-255435FE7A2D}"/>
  <tableColumns count="1">
    <tableColumn id="1" xr3:uid="{B13351B2-2567-1748-B0A9-468431873BDD}" name="Status (Dynamic)"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A515534-FB8C-424C-B006-77FD6C645060}" name="Table8" displayName="Table8" ref="A3:M11" totalsRowCount="1" tableBorderDxfId="277">
  <autoFilter ref="A3:M10" xr:uid="{0A515534-FB8C-424C-B006-77FD6C645060}"/>
  <tableColumns count="13">
    <tableColumn id="1" xr3:uid="{AE6A362A-6048-4D4B-820D-081A1F4C28CD}" name="Unique ID" dataDxfId="276"/>
    <tableColumn id="2" xr3:uid="{2D7F6B6F-41FF-6C49-B12D-EF298A880D5B}" name="Priority Area" dataDxfId="275"/>
    <tableColumn id="3" xr3:uid="{903749BB-BE28-DA45-AF7C-1EC6D1DC87C3}" name="Priority Areas (Description)" dataDxfId="274"/>
    <tableColumn id="7" xr3:uid="{FC59AA51-023A-164D-ABA1-892DB28C666C}" name="Implementing Entity" dataDxfId="273"/>
    <tableColumn id="10" xr3:uid="{201678DD-A0BB-C54A-BEFA-5BBB35CEEB9A}" name="Total US$ " totalsRowFunction="sum" dataDxfId="272" totalsRowDxfId="271"/>
    <tableColumn id="27" xr3:uid="{E600CB02-211D-A843-9AF0-5714781EC41B}" name="Euro - Amount" totalsRowFunction="sum" dataDxfId="270" totalsRowDxfId="269">
      <calculatedColumnFormula>Table8[[#This Row],[Total US$ ]]/$E$2</calculatedColumnFormula>
    </tableColumn>
    <tableColumn id="11" xr3:uid="{5951BDC2-E003-6F4E-82AF-4CB327710318}" name="Total ZAR" totalsRowFunction="sum" dataDxfId="268" totalsRowDxfId="267">
      <calculatedColumnFormula>Table8[[#This Row],[Total US$ ]]*$G$1</calculatedColumnFormula>
    </tableColumn>
    <tableColumn id="13" xr3:uid="{7FB5423F-74F6-DB41-A51E-C47157A0FC3C}" name="Source" dataDxfId="266"/>
    <tableColumn id="14" xr3:uid="{087430C0-02B6-5641-AB2D-C6501913BC8C}" name="Parties &amp; Other key beneficiaries" dataDxfId="265"/>
    <tableColumn id="18" xr3:uid="{C3A9E5AF-DCCC-CC42-84E9-7A3D3F224161}" name="Status - Dynamic" dataDxfId="264"/>
    <tableColumn id="20" xr3:uid="{C630F2FF-0159-0445-B211-C7D2A16C8C30}" name="Activities &amp; Detailed Descriptions " dataDxfId="263"/>
    <tableColumn id="24" xr3:uid="{21C75851-FB70-9B4F-B88F-CC7B04798BC6}" name="Start Date" dataDxfId="262"/>
    <tableColumn id="25" xr3:uid="{F1019E72-6E75-C246-8DD7-A2C278EA7D92}" name="End Date" dataDxfId="26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7FDE84-274F-F845-B2DD-B0C7ACFD010F}" name="Table810" displayName="Table810" ref="A3:N42" totalsRowCount="1" tableBorderDxfId="260">
  <autoFilter ref="A3:N41" xr:uid="{7F7FDE84-274F-F845-B2DD-B0C7ACFD010F}"/>
  <tableColumns count="14">
    <tableColumn id="1" xr3:uid="{18827C0B-E1B3-6349-8DAD-9EA9DF6EFE5B}" name="Unique ID" dataDxfId="259"/>
    <tableColumn id="2" xr3:uid="{954970D4-EF7D-3746-B277-48B5DAA64107}" name="Priority Area" dataDxfId="258" totalsRowDxfId="257"/>
    <tableColumn id="3" xr3:uid="{728C5D1A-2BE3-A94E-BF44-2DBC7974F668}" name="Priority Areas (Description)" dataDxfId="256" totalsRowDxfId="255"/>
    <tableColumn id="7" xr3:uid="{7796C707-5799-4341-A8B0-699442DE1CE9}" name="Implementing Entity" dataDxfId="254" totalsRowDxfId="253"/>
    <tableColumn id="8" xr3:uid="{24B8B6C6-6479-5C49-91A3-53DDE7ED96BD}" name="Funder" dataDxfId="252" totalsRowDxfId="251"/>
    <tableColumn id="10" xr3:uid="{17617524-9803-7943-95FC-A54AD323EA6A}" name="Total US$ " totalsRowFunction="sum" dataDxfId="250" totalsRowDxfId="249"/>
    <tableColumn id="27" xr3:uid="{2411AFCE-DFF6-0544-8BD6-DC7019364162}" name="GBP - Amount" totalsRowFunction="sum" dataDxfId="248" totalsRowDxfId="247"/>
    <tableColumn id="11" xr3:uid="{598A0610-47BD-F74F-8667-B4EB6037BBE6}" name="Total ZAR" totalsRowFunction="sum" dataDxfId="246" totalsRowDxfId="245">
      <calculatedColumnFormula>Table810[[#This Row],[Total US$ ]]*$H$1</calculatedColumnFormula>
    </tableColumn>
    <tableColumn id="13" xr3:uid="{851568CC-FDBA-5B4C-A12B-BC77199B97B1}" name="Source" dataDxfId="244" totalsRowDxfId="243"/>
    <tableColumn id="14" xr3:uid="{657106ED-04A7-1E4B-B6C5-B482F90E87F4}" name="Parties &amp; Other key beneficiaries" dataDxfId="242" totalsRowDxfId="241"/>
    <tableColumn id="18" xr3:uid="{5EBFF9AE-8C9F-DE48-B088-CE2B70115D71}" name="Status - Dynamic" dataDxfId="240" totalsRowDxfId="239" dataCellStyle="Per cent"/>
    <tableColumn id="20" xr3:uid="{69CDE275-53D6-2B4C-8448-8F63E5477F52}" name="Activities &amp; Detailed Descriptions " dataDxfId="238" totalsRowDxfId="237"/>
    <tableColumn id="24" xr3:uid="{6297CD11-606A-274F-8B81-560C7A7F49FE}" name="Start Date" dataDxfId="236" totalsRowDxfId="235"/>
    <tableColumn id="25" xr3:uid="{47E52154-2AFF-C14C-B560-F2BB732CC875}" name="End Date" dataDxfId="234" totalsRowDxfId="2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7B346E7-6205-2945-9D3B-110D3AB94249}" name="Table81012" displayName="Table81012" ref="A3:N26" totalsRowCount="1" dataDxfId="232" tableBorderDxfId="231">
  <autoFilter ref="A3:N25" xr:uid="{77B346E7-6205-2945-9D3B-110D3AB94249}"/>
  <tableColumns count="14">
    <tableColumn id="1" xr3:uid="{71E876EB-1014-514F-BF48-A0827D16D8CE}" name="Unique ID" dataDxfId="230"/>
    <tableColumn id="2" xr3:uid="{653BEB69-AB94-9B42-9F4B-AF2320A8288F}" name="Priority Area" dataDxfId="229" totalsRowDxfId="228"/>
    <tableColumn id="3" xr3:uid="{79214BB4-027B-E147-ADC0-798DA50BD444}" name="Priority Areas (Description)" dataDxfId="227" totalsRowDxfId="226"/>
    <tableColumn id="7" xr3:uid="{4653E1CC-1A16-064E-8BA9-F626B97C60B0}" name="Implementing Entity" dataDxfId="225" totalsRowDxfId="224"/>
    <tableColumn id="27" xr3:uid="{FADE3E8F-F171-F24A-849D-B3CC73DFF3A5}" name="Implementing Partners" dataDxfId="223" totalsRowDxfId="222"/>
    <tableColumn id="10" xr3:uid="{C2E98F09-EF6C-674B-B0A3-D28A325C87B2}" name="Total US$ " totalsRowFunction="sum" dataDxfId="221" totalsRowDxfId="220">
      <calculatedColumnFormula>Table81012[[#This Row],[Euro - Amounts]]*$F$2</calculatedColumnFormula>
    </tableColumn>
    <tableColumn id="26" xr3:uid="{B7F76BB1-CE6F-7D47-9ABF-D2DC8F7243AD}" name="Euro - Amounts" totalsRowFunction="sum" dataDxfId="219" totalsRowDxfId="218"/>
    <tableColumn id="11" xr3:uid="{09BAB795-00A4-B14A-9D8A-0F24C0EACDD1}" name="Total ZAR" totalsRowFunction="sum" dataDxfId="217" totalsRowDxfId="216">
      <calculatedColumnFormula>Table81012[[#This Row],[Total US$ ]]*$H$1</calculatedColumnFormula>
    </tableColumn>
    <tableColumn id="13" xr3:uid="{742FFC07-AD1F-294B-81B2-AD1D076300AA}" name="Source" dataDxfId="215" totalsRowDxfId="214"/>
    <tableColumn id="14" xr3:uid="{07D0CB70-1F02-1D4D-99E0-7B3F4FEC07E9}" name="Parties &amp; Other key beneficiaries" dataDxfId="213" totalsRowDxfId="212"/>
    <tableColumn id="18" xr3:uid="{594BAF3C-91E3-5940-A865-EB48FB16B41E}" name="Status - Dynamic" dataDxfId="211" totalsRowDxfId="210" dataCellStyle="Per cent"/>
    <tableColumn id="20" xr3:uid="{09D92E72-9DA8-AC41-8AC5-3E5DAF687873}" name="Activities &amp; Detailed Descriptions " dataDxfId="209" totalsRowDxfId="208"/>
    <tableColumn id="24" xr3:uid="{7C2C8177-F6DC-3346-A3EB-DF481ECA6DDD}" name="Start Date" dataDxfId="207" totalsRowDxfId="206"/>
    <tableColumn id="25" xr3:uid="{91B60870-31A8-3C4C-92C7-9C574FCBCD52}" name="End Date" dataDxfId="205" totalsRowDxfId="20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0B12EEE-0874-CA46-9D98-67544E7204F5}" name="Table8101213" displayName="Table8101213" ref="A3:M17" totalsRowCount="1" tableBorderDxfId="203">
  <autoFilter ref="A3:M16" xr:uid="{A0B12EEE-0874-CA46-9D98-67544E7204F5}"/>
  <tableColumns count="13">
    <tableColumn id="1" xr3:uid="{5BFE7C59-E327-B141-AF54-C4AAB4BB6AE7}" name="Unique ID" dataDxfId="202" totalsRowDxfId="201"/>
    <tableColumn id="2" xr3:uid="{4F4FE3AB-DF02-294A-BD21-81680AC6D678}" name="Priority Area" dataDxfId="200" totalsRowDxfId="199"/>
    <tableColumn id="3" xr3:uid="{950D38F0-4BC7-0E44-9FF0-92DEB0936984}" name="Priority Areas (Description)" dataDxfId="198" totalsRowDxfId="197"/>
    <tableColumn id="7" xr3:uid="{9102B452-2537-6448-A3AE-5E8B7A134D34}" name="Implementing Entity" dataDxfId="196" totalsRowDxfId="195"/>
    <tableColumn id="10" xr3:uid="{D5FF70D7-845F-034D-9021-4F53709589DE}" name="Total US$ " totalsRowFunction="sum" dataDxfId="194" totalsRowDxfId="193"/>
    <tableColumn id="26" xr3:uid="{4FA695E4-7269-A343-A2FA-FA9F2524D984}" name="Euro - Amount" totalsRowFunction="sum" dataDxfId="192" totalsRowDxfId="191"/>
    <tableColumn id="11" xr3:uid="{C8F5C578-FED2-EF49-B5AA-CC8A2152612C}" name="Total ZAR" totalsRowFunction="sum" dataDxfId="190" totalsRowDxfId="189">
      <calculatedColumnFormula>Table8101213[[#This Row],[Total US$ ]]*$G$1</calculatedColumnFormula>
    </tableColumn>
    <tableColumn id="13" xr3:uid="{23FEB116-CB29-B846-A7BD-613EEF2DEEBF}" name="Source" dataDxfId="188" totalsRowDxfId="187"/>
    <tableColumn id="14" xr3:uid="{B0509B70-BA8A-1746-9953-C6A2C13B05F2}" name="Parties &amp; Other key beneficiaries" dataDxfId="186" totalsRowDxfId="185"/>
    <tableColumn id="18" xr3:uid="{F2EABC9F-383D-214A-83C3-420723EE21BE}" name="Status - Dynamic" dataDxfId="184" totalsRowDxfId="183" dataCellStyle="Per cent"/>
    <tableColumn id="20" xr3:uid="{745DCCCD-5764-DA4E-BC81-39F42C3B4EF5}" name="Activities &amp; Detailed Descriptions " dataDxfId="182" totalsRowDxfId="181"/>
    <tableColumn id="24" xr3:uid="{6836D6DC-639A-0D4C-9418-1AE2636C4C34}" name="Start Date" dataDxfId="180" totalsRowDxfId="179"/>
    <tableColumn id="25" xr3:uid="{36E6F068-7ACA-C644-A399-B722C5B0A29E}" name="End Date" dataDxfId="178" totalsRowDxfId="17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CBDC560-CB5E-084F-8035-76906281807E}" name="Table81012131415161718" displayName="Table81012131415161718" ref="A3:L39" totalsRowCount="1" tableBorderDxfId="176">
  <autoFilter ref="A3:L38" xr:uid="{2CBDC560-CB5E-084F-8035-76906281807E}"/>
  <tableColumns count="12">
    <tableColumn id="1" xr3:uid="{77E61FCA-0405-744A-B14B-7C40CA69AA57}" name="Unique ID" dataDxfId="175"/>
    <tableColumn id="2" xr3:uid="{EE9C7F3C-66D7-7C4C-AB50-9576EE312033}" name="Priority Area" dataDxfId="174" totalsRowDxfId="173"/>
    <tableColumn id="3" xr3:uid="{B13594D9-30D1-4145-80A3-6FA7EEE7DA74}" name="Priority Areas (Description)" dataDxfId="172" totalsRowDxfId="171"/>
    <tableColumn id="7" xr3:uid="{760046DA-7B7D-3C4F-BDDF-ACF670991C26}" name="Implementing Entity" dataDxfId="170" totalsRowDxfId="169"/>
    <tableColumn id="10" xr3:uid="{FB4326EF-B35C-6549-8A23-845E1F64B883}" name="Total US$ " totalsRowFunction="sum" dataDxfId="168" totalsRowDxfId="167"/>
    <tableColumn id="11" xr3:uid="{EFD2BC83-F672-EE45-927F-A8AFF3813185}" name="Total ZAR" totalsRowFunction="sum" dataDxfId="166" totalsRowDxfId="165"/>
    <tableColumn id="13" xr3:uid="{5E0FC58A-71DA-A747-8510-FA53633B23A9}" name="Source" dataDxfId="164" totalsRowDxfId="163"/>
    <tableColumn id="14" xr3:uid="{53A8CF9C-A64D-4348-9A3F-7AB553A4FFE2}" name="Parties &amp; Other key beneficiaries" dataDxfId="162" totalsRowDxfId="161"/>
    <tableColumn id="18" xr3:uid="{409F9DC9-A203-2A4A-BB4A-20D419307BCE}" name="Status - Dynamic" dataDxfId="160" totalsRowDxfId="159" dataCellStyle="Per cent"/>
    <tableColumn id="20" xr3:uid="{6D1DDB3A-78B9-A94A-9050-1473179F446B}" name="Activities &amp; Detailed Descriptions " dataDxfId="158" totalsRowDxfId="157"/>
    <tableColumn id="24" xr3:uid="{6DE5C900-151C-7442-B633-09B9CFAD98B8}" name="Start Date" dataDxfId="156" totalsRowDxfId="155"/>
    <tableColumn id="25" xr3:uid="{8E83ACAA-2B35-3A4B-8628-FAFD44D32244}" name="End Date" dataDxfId="154" totalsRowDxfId="15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1567197-F43D-DD4E-B53A-72C284C19E46}" name="Table8101213141516" displayName="Table8101213141516" ref="A3:L6" totalsRowCount="1" tableBorderDxfId="152">
  <autoFilter ref="A3:L5" xr:uid="{01567197-F43D-DD4E-B53A-72C284C19E46}"/>
  <tableColumns count="12">
    <tableColumn id="1" xr3:uid="{168675C8-EEF4-BF49-A14C-EE92C445A232}" name="Unique ID" dataDxfId="151" totalsRowDxfId="150"/>
    <tableColumn id="2" xr3:uid="{F55B77ED-552E-F64E-A79A-7F4A345C36FD}" name="Priority Area" dataDxfId="149" totalsRowDxfId="148"/>
    <tableColumn id="3" xr3:uid="{26E9EB6D-3E41-0647-8032-83AFD86EA76C}" name="Priority Areas (Description)" dataDxfId="147" totalsRowDxfId="146"/>
    <tableColumn id="7" xr3:uid="{DBD4A9DA-6472-A547-A802-4DEB63A185A9}" name="Implementing Entity" dataDxfId="145" totalsRowDxfId="144"/>
    <tableColumn id="10" xr3:uid="{7A40C4D5-10F6-224D-8AD5-50564D762D1D}" name="Total US$ " totalsRowFunction="sum" dataDxfId="143" totalsRowDxfId="142"/>
    <tableColumn id="11" xr3:uid="{7BD52CD3-EDA7-2D48-8029-4755CD84C364}" name="Total ZAR" totalsRowFunction="sum" dataDxfId="141" totalsRowDxfId="140"/>
    <tableColumn id="13" xr3:uid="{AC1FF90E-48B5-2443-83CF-FEB72E00CBAF}" name="Source" dataDxfId="139" totalsRowDxfId="138"/>
    <tableColumn id="14" xr3:uid="{FE9837B6-332B-B94D-8899-1896BE37A364}" name="Parties &amp; Other key beneficiaries" dataDxfId="137" totalsRowDxfId="136"/>
    <tableColumn id="18" xr3:uid="{CE72EF02-3B6C-A741-84F6-A76D51CD3B35}" name="Status - Dynamic" dataDxfId="135" totalsRowDxfId="134" dataCellStyle="Per cent"/>
    <tableColumn id="20" xr3:uid="{65FB89A1-CD72-6740-AFBE-C8AEA94F277D}" name="Activities &amp; Detailed Descriptions " dataDxfId="133" totalsRowDxfId="132"/>
    <tableColumn id="24" xr3:uid="{93EB7493-DE86-A945-AE8A-4B82574319A5}" name="Start Date" dataDxfId="131" totalsRowDxfId="130"/>
    <tableColumn id="25" xr3:uid="{F03BB16E-9A2A-384C-8D25-A842DF085244}" name="End Date" dataDxfId="129" totalsRowDxfId="12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F3AF8F-11D8-C44C-9222-CDB0BB3AAC91}" name="Table810121314" displayName="Table810121314" ref="A3:M14" totalsRowCount="1" tableBorderDxfId="127">
  <autoFilter ref="A3:M13" xr:uid="{A2F3AF8F-11D8-C44C-9222-CDB0BB3AAC91}"/>
  <tableColumns count="13">
    <tableColumn id="1" xr3:uid="{C57D384B-118A-E84D-A1C4-49D025A9CAEB}" name="Unique ID" dataDxfId="126" totalsRowDxfId="125"/>
    <tableColumn id="2" xr3:uid="{A0F56300-487A-F94B-A742-32D01F6DF882}" name="Priority Area" dataDxfId="124" totalsRowDxfId="123"/>
    <tableColumn id="3" xr3:uid="{0E5C4A3B-19BF-8549-A97F-9600BFF17B8C}" name="Priority Areas (Description)" dataDxfId="122" totalsRowDxfId="121"/>
    <tableColumn id="7" xr3:uid="{64AFF3C6-0710-3645-85C5-70BC248ECAF3}" name="Implementing Entity" dataDxfId="120" totalsRowDxfId="119"/>
    <tableColumn id="10" xr3:uid="{1B1B2E05-B212-A140-8A58-C1CF58842B07}" name="Total US$ " totalsRowFunction="sum" dataDxfId="118" totalsRowDxfId="117"/>
    <tableColumn id="26" xr3:uid="{687AA285-8D7B-A94B-A380-4B616860B14E}" name="DKK - Amount" totalsRowFunction="sum" dataDxfId="116" totalsRowDxfId="115"/>
    <tableColumn id="11" xr3:uid="{8A5260E7-BC9E-DD48-8B8F-365D11800D72}" name="Total ZAR" totalsRowFunction="sum" dataDxfId="114" totalsRowDxfId="113"/>
    <tableColumn id="13" xr3:uid="{2C761762-31DD-424F-ABF0-279907C40606}" name="Source" dataDxfId="112" totalsRowDxfId="111"/>
    <tableColumn id="14" xr3:uid="{14D0B82F-74A6-6A44-8FFC-B3069C9AA429}" name="Parties &amp; Other key beneficiaries" dataDxfId="110" totalsRowDxfId="109"/>
    <tableColumn id="18" xr3:uid="{400668F8-3EC7-0F40-906D-497027CC5467}" name="Status - Dynamic" dataDxfId="108" totalsRowDxfId="107" dataCellStyle="Per cent"/>
    <tableColumn id="20" xr3:uid="{7576B883-EA81-564C-8F0C-C2BA032DC999}" name="Activities &amp; Detailed Descriptions " dataDxfId="106" totalsRowDxfId="105"/>
    <tableColumn id="24" xr3:uid="{530CC416-70EA-9841-9542-D6F975D0DC06}" name="Start Date" dataDxfId="104" totalsRowDxfId="103"/>
    <tableColumn id="25" xr3:uid="{42B7A7AF-E5CA-D247-90EB-1F2EE6C69887}" name="End Date" dataDxfId="102" totalsRowDxfId="10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A84D7AA-886E-F240-AE77-87F65F4785C6}" name="Table810121314151617" displayName="Table810121314151617" ref="A3:M9" totalsRowCount="1" tableBorderDxfId="100">
  <autoFilter ref="A3:M8" xr:uid="{1A84D7AA-886E-F240-AE77-87F65F4785C6}"/>
  <tableColumns count="13">
    <tableColumn id="1" xr3:uid="{0E5D7692-2266-FA4A-8503-F9B0DBBADFC4}" name="Unique ID" dataDxfId="99" totalsRowDxfId="98"/>
    <tableColumn id="2" xr3:uid="{1A065F02-3CDA-824E-ADA0-CB340C7EB1AC}" name="Priority Area" dataDxfId="97" totalsRowDxfId="96"/>
    <tableColumn id="3" xr3:uid="{9F89F574-8A88-8B4A-A4C9-082824724F93}" name="Priority Areas (Description)" dataDxfId="95" totalsRowDxfId="94"/>
    <tableColumn id="7" xr3:uid="{B045F9CD-53B8-6E4E-B182-3ADE9D0796BE}" name="Implementing Entity" dataDxfId="93" totalsRowDxfId="92"/>
    <tableColumn id="10" xr3:uid="{AFC81B52-9CD3-1F44-A921-506932C72EE5}" name="Total US$ " totalsRowFunction="sum" dataDxfId="91" totalsRowDxfId="90"/>
    <tableColumn id="26" xr3:uid="{14BAA71F-D008-7D4E-8A0B-F18DF0D89BED}" name="Euro: Amount" totalsRowFunction="sum" dataDxfId="89" totalsRowDxfId="88"/>
    <tableColumn id="11" xr3:uid="{B7553EAD-4F53-A849-ACAD-F16DC1804470}" name="Total ZAR" totalsRowFunction="sum" dataDxfId="87" totalsRowDxfId="86"/>
    <tableColumn id="13" xr3:uid="{D3A62A74-D724-EC4A-B761-3948323A3092}" name="Source" dataDxfId="85" totalsRowDxfId="84"/>
    <tableColumn id="14" xr3:uid="{3D98122B-A9BE-3F43-A51D-F417C2D5BC7C}" name="Parties &amp; Other key beneficiaries" dataDxfId="83" totalsRowDxfId="82"/>
    <tableColumn id="18" xr3:uid="{5A7D2FA5-E14C-8645-9717-E4F032871FC7}" name="Status - Dynamic" dataDxfId="81" totalsRowDxfId="80" dataCellStyle="Per cent"/>
    <tableColumn id="20" xr3:uid="{581A7C12-16ED-9544-94AD-355FC3757764}" name="Activities &amp; Detailed Descriptions " dataDxfId="79" totalsRowDxfId="78"/>
    <tableColumn id="24" xr3:uid="{D73CF5C3-052C-F648-AA24-E46BFE1B982C}" name="Start Date" dataDxfId="77" totalsRowDxfId="76"/>
    <tableColumn id="25" xr3:uid="{D9E91EED-1A3E-5B47-ABF5-1B91E2B5E20F}" name="End Date" dataDxfId="75" totalsRowDxfId="7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3-08-29T09:43:49.68" personId="{00000000-0000-0000-0000-000000000000}" id="{EF776F8F-B24A-F34B-A4BD-123CD1E27B68}">
    <text>UK; US; France; Germany; EU; ACT-IP</text>
  </threadedComment>
  <threadedComment ref="G3" dT="2023-08-29T09:44:24.75" personId="{00000000-0000-0000-0000-000000000000}" id="{54CBC95A-3347-C443-B3BB-4BF31750A8AE}">
    <text>Denmark and Netherlands</text>
  </threadedComment>
  <threadedComment ref="G4" dT="2023-08-29T09:44:37.65" personId="{00000000-0000-0000-0000-000000000000}" id="{D97DD1C8-FE74-0340-933A-D061E2068CC8}">
    <text>Canada and Spain</text>
  </threadedComment>
  <threadedComment ref="G5" dT="2023-08-29T09:45:21.05" personId="{00000000-0000-0000-0000-000000000000}" id="{02F9A3B5-991A-0D48-B0B5-6627600D856F}">
    <text>World Bank; AfDB; NDB</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vmlDrawing" Target="../drawings/vmlDrawing2.v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022F2-D90A-4926-B7CA-F6F5EECFCA06}">
  <dimension ref="A1:K154"/>
  <sheetViews>
    <sheetView showGridLines="0" tabSelected="1" zoomScale="120" zoomScaleNormal="120" workbookViewId="0">
      <selection sqref="A1:B3"/>
    </sheetView>
  </sheetViews>
  <sheetFormatPr baseColWidth="10" defaultColWidth="8.83203125" defaultRowHeight="15" x14ac:dyDescent="0.2"/>
  <cols>
    <col min="1" max="1" width="22.83203125" bestFit="1" customWidth="1"/>
    <col min="2" max="2" width="25.6640625" style="1" bestFit="1" customWidth="1"/>
    <col min="3" max="3" width="24.33203125" customWidth="1"/>
    <col min="4" max="4" width="11.83203125" bestFit="1" customWidth="1"/>
    <col min="5" max="5" width="14.1640625" bestFit="1" customWidth="1"/>
    <col min="6" max="6" width="13.33203125" style="1" bestFit="1" customWidth="1"/>
    <col min="7" max="7" width="30.6640625" style="1" customWidth="1"/>
    <col min="8" max="8" width="21.6640625" style="8" bestFit="1" customWidth="1"/>
    <col min="9" max="9" width="45.83203125" style="1" customWidth="1"/>
    <col min="10" max="10" width="24.33203125" style="3" bestFit="1" customWidth="1"/>
    <col min="11" max="11" width="25.5" bestFit="1" customWidth="1"/>
  </cols>
  <sheetData>
    <row r="1" spans="1:11" ht="14.5" customHeight="1" x14ac:dyDescent="0.2">
      <c r="A1" s="124" t="s">
        <v>637</v>
      </c>
      <c r="B1" s="124"/>
      <c r="E1" s="77" t="s">
        <v>114</v>
      </c>
    </row>
    <row r="2" spans="1:11" ht="15" customHeight="1" thickBot="1" x14ac:dyDescent="0.25">
      <c r="A2" s="124"/>
      <c r="B2" s="124"/>
      <c r="E2" s="76">
        <v>17.05</v>
      </c>
    </row>
    <row r="3" spans="1:11" x14ac:dyDescent="0.2">
      <c r="A3" s="124"/>
      <c r="B3" s="124"/>
    </row>
    <row r="4" spans="1:11" ht="16" x14ac:dyDescent="0.2">
      <c r="A4" t="s">
        <v>152</v>
      </c>
      <c r="B4" s="1" t="s">
        <v>117</v>
      </c>
      <c r="C4" t="s">
        <v>526</v>
      </c>
      <c r="D4" t="s">
        <v>256</v>
      </c>
      <c r="E4" t="s">
        <v>70</v>
      </c>
      <c r="F4" t="s">
        <v>154</v>
      </c>
      <c r="G4" t="s">
        <v>527</v>
      </c>
      <c r="H4" s="8" t="s">
        <v>116</v>
      </c>
      <c r="I4" s="1" t="s">
        <v>428</v>
      </c>
      <c r="J4" s="3" t="s">
        <v>113</v>
      </c>
      <c r="K4" s="3" t="s">
        <v>112</v>
      </c>
    </row>
    <row r="5" spans="1:11" s="16" customFormat="1" ht="112" x14ac:dyDescent="0.2">
      <c r="A5" s="85" t="s">
        <v>125</v>
      </c>
      <c r="B5" s="81" t="s">
        <v>7</v>
      </c>
      <c r="C5" s="82" t="s">
        <v>599</v>
      </c>
      <c r="D5" s="116">
        <v>162000</v>
      </c>
      <c r="E5" s="114">
        <f>Table1[[#This Row],[Total US$ ]]*$E$2</f>
        <v>2762100</v>
      </c>
      <c r="F5" s="85" t="s">
        <v>598</v>
      </c>
      <c r="G5" s="82" t="s">
        <v>602</v>
      </c>
      <c r="H5" s="109" t="s">
        <v>329</v>
      </c>
      <c r="I5" s="82" t="s">
        <v>611</v>
      </c>
      <c r="J5" s="111">
        <v>44562</v>
      </c>
      <c r="K5" s="111">
        <v>45289</v>
      </c>
    </row>
    <row r="6" spans="1:11" s="16" customFormat="1" ht="160" x14ac:dyDescent="0.2">
      <c r="A6" s="85" t="s">
        <v>156</v>
      </c>
      <c r="B6" s="81" t="s">
        <v>24</v>
      </c>
      <c r="C6" s="81" t="s">
        <v>165</v>
      </c>
      <c r="D6" s="116">
        <v>2160000</v>
      </c>
      <c r="E6" s="114">
        <f>Table1[[#This Row],[Total US$ ]]*$E$2</f>
        <v>36828000</v>
      </c>
      <c r="F6" s="85" t="s">
        <v>598</v>
      </c>
      <c r="G6" s="83" t="s">
        <v>91</v>
      </c>
      <c r="H6" s="109" t="s">
        <v>329</v>
      </c>
      <c r="I6" s="82" t="s">
        <v>605</v>
      </c>
      <c r="J6" s="111">
        <v>44501</v>
      </c>
      <c r="K6" s="111">
        <v>45657</v>
      </c>
    </row>
    <row r="7" spans="1:11" s="16" customFormat="1" ht="96" x14ac:dyDescent="0.2">
      <c r="A7" s="85" t="s">
        <v>129</v>
      </c>
      <c r="B7" s="81" t="s">
        <v>24</v>
      </c>
      <c r="C7" s="82" t="s">
        <v>599</v>
      </c>
      <c r="D7" s="116">
        <v>86400</v>
      </c>
      <c r="E7" s="114">
        <f>Table1[[#This Row],[Total US$ ]]*$E$2</f>
        <v>1473120</v>
      </c>
      <c r="F7" s="85" t="s">
        <v>598</v>
      </c>
      <c r="G7" s="82" t="s">
        <v>602</v>
      </c>
      <c r="H7" s="109" t="s">
        <v>329</v>
      </c>
      <c r="I7" s="82" t="s">
        <v>606</v>
      </c>
      <c r="J7" s="111">
        <v>44928</v>
      </c>
      <c r="K7" s="111">
        <v>45657</v>
      </c>
    </row>
    <row r="8" spans="1:11" s="16" customFormat="1" ht="80" x14ac:dyDescent="0.2">
      <c r="A8" s="85" t="s">
        <v>156</v>
      </c>
      <c r="B8" s="81" t="s">
        <v>24</v>
      </c>
      <c r="C8" s="82" t="s">
        <v>599</v>
      </c>
      <c r="D8" s="116">
        <v>21600</v>
      </c>
      <c r="E8" s="114">
        <f>Table1[[#This Row],[Total US$ ]]*$E$2</f>
        <v>368280</v>
      </c>
      <c r="F8" s="85" t="s">
        <v>598</v>
      </c>
      <c r="G8" s="82" t="s">
        <v>602</v>
      </c>
      <c r="H8" s="109" t="s">
        <v>329</v>
      </c>
      <c r="I8" s="118" t="s">
        <v>607</v>
      </c>
      <c r="J8" s="111">
        <v>44927</v>
      </c>
      <c r="K8" s="111">
        <v>45291</v>
      </c>
    </row>
    <row r="9" spans="1:11" s="16" customFormat="1" ht="160" x14ac:dyDescent="0.2">
      <c r="A9" s="85" t="s">
        <v>96</v>
      </c>
      <c r="B9" s="81" t="s">
        <v>36</v>
      </c>
      <c r="C9" s="81" t="s">
        <v>167</v>
      </c>
      <c r="D9" s="116">
        <v>16200000.000000002</v>
      </c>
      <c r="E9" s="114">
        <f>Table1[[#This Row],[Total US$ ]]*$E$2</f>
        <v>276210000.00000006</v>
      </c>
      <c r="F9" s="85" t="s">
        <v>598</v>
      </c>
      <c r="G9" s="96" t="s">
        <v>603</v>
      </c>
      <c r="H9" s="109" t="s">
        <v>338</v>
      </c>
      <c r="I9" s="118" t="s">
        <v>608</v>
      </c>
      <c r="J9" s="111">
        <v>45017</v>
      </c>
      <c r="K9" s="111">
        <v>46752</v>
      </c>
    </row>
    <row r="10" spans="1:11" s="45" customFormat="1" ht="192" x14ac:dyDescent="0.2">
      <c r="A10" s="85" t="s">
        <v>128</v>
      </c>
      <c r="B10" s="81" t="s">
        <v>51</v>
      </c>
      <c r="C10" s="81" t="s">
        <v>18</v>
      </c>
      <c r="D10" s="116">
        <v>172800</v>
      </c>
      <c r="E10" s="114">
        <f>Table1[[#This Row],[Total US$ ]]*$E$2</f>
        <v>2946240</v>
      </c>
      <c r="F10" s="85" t="s">
        <v>598</v>
      </c>
      <c r="G10" s="83" t="s">
        <v>52</v>
      </c>
      <c r="H10" s="109" t="s">
        <v>329</v>
      </c>
      <c r="I10" s="82" t="s">
        <v>609</v>
      </c>
      <c r="J10" s="111">
        <v>44562</v>
      </c>
      <c r="K10" s="111">
        <v>46387</v>
      </c>
    </row>
    <row r="11" spans="1:11" s="16" customFormat="1" ht="144" x14ac:dyDescent="0.2">
      <c r="A11" s="85" t="s">
        <v>125</v>
      </c>
      <c r="B11" s="81" t="s">
        <v>60</v>
      </c>
      <c r="C11" s="81" t="s">
        <v>167</v>
      </c>
      <c r="D11" s="116">
        <v>37800000</v>
      </c>
      <c r="E11" s="114">
        <f>Table1[[#This Row],[Total US$ ]]*$E$2</f>
        <v>644490000</v>
      </c>
      <c r="F11" s="85" t="s">
        <v>598</v>
      </c>
      <c r="G11" s="83" t="s">
        <v>106</v>
      </c>
      <c r="H11" s="109" t="s">
        <v>329</v>
      </c>
      <c r="I11" s="82" t="s">
        <v>610</v>
      </c>
      <c r="J11" s="111">
        <v>44501</v>
      </c>
      <c r="K11" s="111">
        <v>46021</v>
      </c>
    </row>
    <row r="12" spans="1:11" s="16" customFormat="1" ht="160" x14ac:dyDescent="0.2">
      <c r="A12" s="85" t="s">
        <v>125</v>
      </c>
      <c r="B12" s="81" t="s">
        <v>0</v>
      </c>
      <c r="C12" s="81" t="s">
        <v>3</v>
      </c>
      <c r="D12" s="116">
        <v>2000000.0052</v>
      </c>
      <c r="E12" s="114">
        <f>Table1[[#This Row],[Total US$ ]]*$E$2</f>
        <v>34100000.088660002</v>
      </c>
      <c r="F12" s="85" t="s">
        <v>600</v>
      </c>
      <c r="G12" s="83" t="s">
        <v>528</v>
      </c>
      <c r="H12" s="109" t="s">
        <v>327</v>
      </c>
      <c r="I12" s="82" t="s">
        <v>410</v>
      </c>
      <c r="J12" s="111">
        <v>44501</v>
      </c>
      <c r="K12" s="111">
        <v>45657</v>
      </c>
    </row>
    <row r="13" spans="1:11" s="16" customFormat="1" ht="80" x14ac:dyDescent="0.2">
      <c r="A13" s="85" t="s">
        <v>125</v>
      </c>
      <c r="B13" s="81" t="s">
        <v>0</v>
      </c>
      <c r="C13" s="81" t="s">
        <v>3</v>
      </c>
      <c r="D13" s="116">
        <v>1380000.0052</v>
      </c>
      <c r="E13" s="114">
        <f>Table1[[#This Row],[Total US$ ]]*$E$2</f>
        <v>23529000.088660002</v>
      </c>
      <c r="F13" s="85" t="s">
        <v>600</v>
      </c>
      <c r="G13" s="83" t="s">
        <v>529</v>
      </c>
      <c r="H13" s="109" t="s">
        <v>327</v>
      </c>
      <c r="I13" s="82" t="s">
        <v>411</v>
      </c>
      <c r="J13" s="111">
        <v>44562</v>
      </c>
      <c r="K13" s="111">
        <v>45657</v>
      </c>
    </row>
    <row r="14" spans="1:11" s="2" customFormat="1" ht="96" x14ac:dyDescent="0.2">
      <c r="A14" s="85" t="s">
        <v>125</v>
      </c>
      <c r="B14" s="82" t="s">
        <v>9</v>
      </c>
      <c r="C14" s="82" t="s">
        <v>160</v>
      </c>
      <c r="D14" s="116">
        <v>112840</v>
      </c>
      <c r="E14" s="114">
        <f>Table1[[#This Row],[Total US$ ]]*$E$2</f>
        <v>1923922</v>
      </c>
      <c r="F14" s="85" t="s">
        <v>600</v>
      </c>
      <c r="G14" s="96" t="s">
        <v>42</v>
      </c>
      <c r="H14" s="109" t="s">
        <v>327</v>
      </c>
      <c r="I14" s="82" t="s">
        <v>412</v>
      </c>
      <c r="J14" s="111">
        <v>44562</v>
      </c>
      <c r="K14" s="111">
        <v>45291</v>
      </c>
    </row>
    <row r="15" spans="1:11" s="20" customFormat="1" ht="96" x14ac:dyDescent="0.2">
      <c r="A15" s="85" t="s">
        <v>125</v>
      </c>
      <c r="B15" s="81" t="s">
        <v>12</v>
      </c>
      <c r="C15" s="81" t="s">
        <v>13</v>
      </c>
      <c r="D15" s="116">
        <v>1490677.3194459043</v>
      </c>
      <c r="E15" s="114">
        <f>Table1[[#This Row],[Total US$ ]]*$E$2</f>
        <v>25416048.296552669</v>
      </c>
      <c r="F15" s="85" t="s">
        <v>600</v>
      </c>
      <c r="G15" s="83" t="s">
        <v>87</v>
      </c>
      <c r="H15" s="109" t="s">
        <v>327</v>
      </c>
      <c r="I15" s="82" t="s">
        <v>413</v>
      </c>
      <c r="J15" s="111">
        <v>44562</v>
      </c>
      <c r="K15" s="111">
        <v>45657</v>
      </c>
    </row>
    <row r="16" spans="1:11" s="16" customFormat="1" ht="96" x14ac:dyDescent="0.2">
      <c r="A16" s="85" t="s">
        <v>125</v>
      </c>
      <c r="B16" s="81" t="s">
        <v>22</v>
      </c>
      <c r="C16" s="81" t="s">
        <v>161</v>
      </c>
      <c r="D16" s="116">
        <v>170170.16</v>
      </c>
      <c r="E16" s="114">
        <f>Table1[[#This Row],[Total US$ ]]*$E$2</f>
        <v>2901401.2280000001</v>
      </c>
      <c r="F16" s="85" t="s">
        <v>600</v>
      </c>
      <c r="G16" s="83" t="s">
        <v>530</v>
      </c>
      <c r="H16" s="109" t="s">
        <v>338</v>
      </c>
      <c r="I16" s="82" t="s">
        <v>414</v>
      </c>
      <c r="J16" s="111">
        <v>44927</v>
      </c>
      <c r="K16" s="111">
        <v>45291</v>
      </c>
    </row>
    <row r="17" spans="1:11" s="16" customFormat="1" ht="272" x14ac:dyDescent="0.2">
      <c r="A17" s="85" t="s">
        <v>129</v>
      </c>
      <c r="B17" s="81" t="s">
        <v>17</v>
      </c>
      <c r="C17" s="81" t="s">
        <v>13</v>
      </c>
      <c r="D17" s="116">
        <v>429208.64</v>
      </c>
      <c r="E17" s="114">
        <f>Table1[[#This Row],[Total US$ ]]*$E$2</f>
        <v>7318007.3120000008</v>
      </c>
      <c r="F17" s="85" t="s">
        <v>600</v>
      </c>
      <c r="G17" s="83" t="s">
        <v>531</v>
      </c>
      <c r="H17" s="109" t="s">
        <v>329</v>
      </c>
      <c r="I17" s="82" t="s">
        <v>415</v>
      </c>
      <c r="J17" s="111">
        <v>44501</v>
      </c>
      <c r="K17" s="111">
        <v>45016</v>
      </c>
    </row>
    <row r="18" spans="1:11" s="2" customFormat="1" ht="128" x14ac:dyDescent="0.2">
      <c r="A18" s="85" t="s">
        <v>129</v>
      </c>
      <c r="B18" s="82" t="s">
        <v>17</v>
      </c>
      <c r="C18" s="82" t="s">
        <v>59</v>
      </c>
      <c r="D18" s="116">
        <v>640148.76</v>
      </c>
      <c r="E18" s="114">
        <f>Table1[[#This Row],[Total US$ ]]*$E$2</f>
        <v>10914536.358000001</v>
      </c>
      <c r="F18" s="85" t="s">
        <v>600</v>
      </c>
      <c r="G18" s="96" t="s">
        <v>532</v>
      </c>
      <c r="H18" s="109" t="s">
        <v>329</v>
      </c>
      <c r="I18" s="82" t="s">
        <v>416</v>
      </c>
      <c r="J18" s="111">
        <v>44501</v>
      </c>
      <c r="K18" s="111">
        <v>45016</v>
      </c>
    </row>
    <row r="19" spans="1:11" s="16" customFormat="1" ht="112" x14ac:dyDescent="0.2">
      <c r="A19" s="85" t="s">
        <v>129</v>
      </c>
      <c r="B19" s="81" t="s">
        <v>17</v>
      </c>
      <c r="C19" s="81" t="s">
        <v>162</v>
      </c>
      <c r="D19" s="116">
        <v>915005.92</v>
      </c>
      <c r="E19" s="114">
        <f>Table1[[#This Row],[Total US$ ]]*$E$2</f>
        <v>15600850.936000001</v>
      </c>
      <c r="F19" s="85" t="s">
        <v>600</v>
      </c>
      <c r="G19" s="96" t="s">
        <v>533</v>
      </c>
      <c r="H19" s="109" t="s">
        <v>328</v>
      </c>
      <c r="I19" s="82" t="s">
        <v>417</v>
      </c>
      <c r="J19" s="111">
        <v>44501</v>
      </c>
      <c r="K19" s="111">
        <v>45291</v>
      </c>
    </row>
    <row r="20" spans="1:11" s="16" customFormat="1" ht="256" x14ac:dyDescent="0.2">
      <c r="A20" s="85" t="s">
        <v>129</v>
      </c>
      <c r="B20" s="81" t="s">
        <v>21</v>
      </c>
      <c r="C20" s="81" t="s">
        <v>162</v>
      </c>
      <c r="D20" s="116">
        <v>1324931.32</v>
      </c>
      <c r="E20" s="114">
        <f>Table1[[#This Row],[Total US$ ]]*$E$2</f>
        <v>22590079.006000001</v>
      </c>
      <c r="F20" s="85" t="s">
        <v>600</v>
      </c>
      <c r="G20" s="83" t="s">
        <v>534</v>
      </c>
      <c r="H20" s="109" t="s">
        <v>327</v>
      </c>
      <c r="I20" s="82" t="s">
        <v>418</v>
      </c>
      <c r="J20" s="111">
        <v>44501</v>
      </c>
      <c r="K20" s="111">
        <v>45747</v>
      </c>
    </row>
    <row r="21" spans="1:11" s="16" customFormat="1" ht="128" x14ac:dyDescent="0.2">
      <c r="A21" s="85" t="s">
        <v>129</v>
      </c>
      <c r="B21" s="81" t="s">
        <v>22</v>
      </c>
      <c r="C21" s="81" t="s">
        <v>23</v>
      </c>
      <c r="D21" s="116">
        <v>314491.27999999997</v>
      </c>
      <c r="E21" s="114">
        <f>Table1[[#This Row],[Total US$ ]]*$E$2</f>
        <v>5362076.324</v>
      </c>
      <c r="F21" s="85" t="s">
        <v>600</v>
      </c>
      <c r="G21" s="83" t="s">
        <v>95</v>
      </c>
      <c r="H21" s="109" t="s">
        <v>329</v>
      </c>
      <c r="I21" s="82" t="s">
        <v>419</v>
      </c>
      <c r="J21" s="111">
        <v>44501</v>
      </c>
      <c r="K21" s="111">
        <v>44895</v>
      </c>
    </row>
    <row r="22" spans="1:11" s="16" customFormat="1" ht="128" x14ac:dyDescent="0.2">
      <c r="A22" s="85" t="s">
        <v>156</v>
      </c>
      <c r="B22" s="81" t="s">
        <v>24</v>
      </c>
      <c r="C22" s="81" t="s">
        <v>25</v>
      </c>
      <c r="D22" s="116">
        <v>328600</v>
      </c>
      <c r="E22" s="114">
        <f>Table1[[#This Row],[Total US$ ]]*$E$2</f>
        <v>5602630</v>
      </c>
      <c r="F22" s="85" t="s">
        <v>600</v>
      </c>
      <c r="G22" s="83" t="s">
        <v>90</v>
      </c>
      <c r="H22" s="109" t="s">
        <v>329</v>
      </c>
      <c r="I22" s="82" t="s">
        <v>420</v>
      </c>
      <c r="J22" s="111">
        <v>44562</v>
      </c>
      <c r="K22" s="111">
        <v>45657</v>
      </c>
    </row>
    <row r="23" spans="1:11" s="20" customFormat="1" ht="192" x14ac:dyDescent="0.2">
      <c r="A23" s="85" t="s">
        <v>156</v>
      </c>
      <c r="B23" s="81" t="s">
        <v>26</v>
      </c>
      <c r="C23" s="81" t="s">
        <v>27</v>
      </c>
      <c r="D23" s="116">
        <v>22353.48</v>
      </c>
      <c r="E23" s="114">
        <f>Table1[[#This Row],[Total US$ ]]*$E$2</f>
        <v>381126.83400000003</v>
      </c>
      <c r="F23" s="85" t="s">
        <v>600</v>
      </c>
      <c r="G23" s="83" t="s">
        <v>97</v>
      </c>
      <c r="H23" s="109" t="s">
        <v>329</v>
      </c>
      <c r="I23" s="82" t="s">
        <v>421</v>
      </c>
      <c r="J23" s="111">
        <v>44958</v>
      </c>
      <c r="K23" s="111">
        <v>45230</v>
      </c>
    </row>
    <row r="24" spans="1:11" s="20" customFormat="1" ht="160" x14ac:dyDescent="0.2">
      <c r="A24" s="85" t="s">
        <v>96</v>
      </c>
      <c r="B24" s="81" t="s">
        <v>35</v>
      </c>
      <c r="C24" s="81" t="s">
        <v>27</v>
      </c>
      <c r="D24" s="116">
        <v>152648.95999999999</v>
      </c>
      <c r="E24" s="114">
        <f>Table1[[#This Row],[Total US$ ]]*$E$2</f>
        <v>2602664.7680000002</v>
      </c>
      <c r="F24" s="85" t="s">
        <v>600</v>
      </c>
      <c r="G24" s="83" t="s">
        <v>99</v>
      </c>
      <c r="H24" s="109" t="s">
        <v>329</v>
      </c>
      <c r="I24" s="82" t="s">
        <v>422</v>
      </c>
      <c r="J24" s="112">
        <v>44501</v>
      </c>
      <c r="K24" s="112">
        <v>44712</v>
      </c>
    </row>
    <row r="25" spans="1:11" s="2" customFormat="1" ht="208" x14ac:dyDescent="0.2">
      <c r="A25" s="85" t="s">
        <v>96</v>
      </c>
      <c r="B25" s="82" t="s">
        <v>36</v>
      </c>
      <c r="C25" s="82" t="s">
        <v>37</v>
      </c>
      <c r="D25" s="116">
        <v>186281.48</v>
      </c>
      <c r="E25" s="114">
        <f>Table1[[#This Row],[Total US$ ]]*$E$2</f>
        <v>3176099.2340000002</v>
      </c>
      <c r="F25" s="85" t="s">
        <v>600</v>
      </c>
      <c r="G25" s="96" t="s">
        <v>100</v>
      </c>
      <c r="H25" s="109" t="s">
        <v>329</v>
      </c>
      <c r="I25" s="82" t="s">
        <v>423</v>
      </c>
      <c r="J25" s="111">
        <v>44501</v>
      </c>
      <c r="K25" s="111">
        <v>44804</v>
      </c>
    </row>
    <row r="26" spans="1:11" s="2" customFormat="1" ht="144" x14ac:dyDescent="0.2">
      <c r="A26" s="85" t="s">
        <v>96</v>
      </c>
      <c r="B26" s="82" t="s">
        <v>36</v>
      </c>
      <c r="C26" s="82" t="s">
        <v>38</v>
      </c>
      <c r="D26" s="116">
        <v>369694.84</v>
      </c>
      <c r="E26" s="114">
        <f>Table1[[#This Row],[Total US$ ]]*$E$2</f>
        <v>6303297.0220000008</v>
      </c>
      <c r="F26" s="85" t="s">
        <v>600</v>
      </c>
      <c r="G26" s="96" t="s">
        <v>101</v>
      </c>
      <c r="H26" s="109" t="s">
        <v>329</v>
      </c>
      <c r="I26" s="82" t="s">
        <v>424</v>
      </c>
      <c r="J26" s="111">
        <v>44866</v>
      </c>
      <c r="K26" s="111">
        <v>45657</v>
      </c>
    </row>
    <row r="27" spans="1:11" s="2" customFormat="1" ht="96" x14ac:dyDescent="0.2">
      <c r="A27" s="85" t="s">
        <v>96</v>
      </c>
      <c r="B27" s="82" t="s">
        <v>39</v>
      </c>
      <c r="C27" s="82" t="s">
        <v>6</v>
      </c>
      <c r="D27" s="116">
        <v>6361200</v>
      </c>
      <c r="E27" s="114">
        <f>Table1[[#This Row],[Total US$ ]]*$E$2</f>
        <v>108458460</v>
      </c>
      <c r="F27" s="85" t="s">
        <v>600</v>
      </c>
      <c r="G27" s="96" t="s">
        <v>400</v>
      </c>
      <c r="H27" s="109" t="s">
        <v>329</v>
      </c>
      <c r="I27" s="82" t="s">
        <v>425</v>
      </c>
      <c r="J27" s="111">
        <v>44562</v>
      </c>
      <c r="K27" s="111">
        <v>46022</v>
      </c>
    </row>
    <row r="28" spans="1:11" s="16" customFormat="1" ht="160" x14ac:dyDescent="0.2">
      <c r="A28" s="85" t="s">
        <v>96</v>
      </c>
      <c r="B28" s="81" t="s">
        <v>39</v>
      </c>
      <c r="C28" s="81" t="s">
        <v>162</v>
      </c>
      <c r="D28" s="116">
        <v>510421.2</v>
      </c>
      <c r="E28" s="114">
        <f>Table1[[#This Row],[Total US$ ]]*$E$2</f>
        <v>8702681.4600000009</v>
      </c>
      <c r="F28" s="85" t="s">
        <v>600</v>
      </c>
      <c r="G28" s="83" t="s">
        <v>42</v>
      </c>
      <c r="H28" s="109" t="s">
        <v>329</v>
      </c>
      <c r="I28" s="82" t="s">
        <v>426</v>
      </c>
      <c r="J28" s="111">
        <v>44562</v>
      </c>
      <c r="K28" s="111">
        <v>45107</v>
      </c>
    </row>
    <row r="29" spans="1:11" s="16" customFormat="1" ht="112" x14ac:dyDescent="0.2">
      <c r="A29" s="85" t="s">
        <v>127</v>
      </c>
      <c r="B29" s="81" t="s">
        <v>43</v>
      </c>
      <c r="C29" s="81" t="s">
        <v>168</v>
      </c>
      <c r="D29" s="116">
        <v>374532.08</v>
      </c>
      <c r="E29" s="114">
        <f>Table1[[#This Row],[Total US$ ]]*$E$2</f>
        <v>6385771.9640000006</v>
      </c>
      <c r="F29" s="85" t="s">
        <v>600</v>
      </c>
      <c r="G29" s="83" t="s">
        <v>102</v>
      </c>
      <c r="H29" s="109" t="s">
        <v>329</v>
      </c>
      <c r="I29" s="82" t="s">
        <v>427</v>
      </c>
      <c r="J29" s="111">
        <v>44501</v>
      </c>
      <c r="K29" s="111">
        <v>45016</v>
      </c>
    </row>
    <row r="30" spans="1:11" s="16" customFormat="1" ht="96" x14ac:dyDescent="0.2">
      <c r="A30" s="85" t="s">
        <v>127</v>
      </c>
      <c r="B30" s="81" t="s">
        <v>43</v>
      </c>
      <c r="C30" s="81" t="s">
        <v>38</v>
      </c>
      <c r="D30" s="116">
        <v>183734.52</v>
      </c>
      <c r="E30" s="114">
        <f>Table1[[#This Row],[Total US$ ]]*$E$2</f>
        <v>3132673.5660000001</v>
      </c>
      <c r="F30" s="85" t="s">
        <v>600</v>
      </c>
      <c r="G30" s="83" t="s">
        <v>101</v>
      </c>
      <c r="H30" s="109" t="s">
        <v>329</v>
      </c>
      <c r="I30" s="82" t="s">
        <v>429</v>
      </c>
      <c r="J30" s="111">
        <v>44501</v>
      </c>
      <c r="K30" s="111">
        <v>44926</v>
      </c>
    </row>
    <row r="31" spans="1:11" s="16" customFormat="1" ht="64" x14ac:dyDescent="0.2">
      <c r="A31" s="85" t="s">
        <v>126</v>
      </c>
      <c r="B31" s="81" t="s">
        <v>44</v>
      </c>
      <c r="C31" s="83" t="s">
        <v>3</v>
      </c>
      <c r="D31" s="116">
        <v>2005482.7310146289</v>
      </c>
      <c r="E31" s="114">
        <f>Table1[[#This Row],[Total US$ ]]*$E$2</f>
        <v>34193480.563799426</v>
      </c>
      <c r="F31" s="85" t="s">
        <v>600</v>
      </c>
      <c r="G31" s="83" t="s">
        <v>535</v>
      </c>
      <c r="H31" s="109" t="s">
        <v>329</v>
      </c>
      <c r="I31" s="82" t="s">
        <v>430</v>
      </c>
      <c r="J31" s="111">
        <v>44501</v>
      </c>
      <c r="K31" s="111">
        <v>45291</v>
      </c>
    </row>
    <row r="32" spans="1:11" s="16" customFormat="1" ht="160" x14ac:dyDescent="0.2">
      <c r="A32" s="85" t="s">
        <v>128</v>
      </c>
      <c r="B32" s="81" t="s">
        <v>49</v>
      </c>
      <c r="C32" s="81" t="s">
        <v>50</v>
      </c>
      <c r="D32" s="116">
        <v>102453.75999999999</v>
      </c>
      <c r="E32" s="114">
        <f>Table1[[#This Row],[Total US$ ]]*$E$2</f>
        <v>1746836.608</v>
      </c>
      <c r="F32" s="85" t="s">
        <v>600</v>
      </c>
      <c r="G32" s="83" t="s">
        <v>536</v>
      </c>
      <c r="H32" s="109" t="s">
        <v>329</v>
      </c>
      <c r="I32" s="82" t="s">
        <v>431</v>
      </c>
      <c r="J32" s="111">
        <v>44501</v>
      </c>
      <c r="K32" s="111">
        <v>44681</v>
      </c>
    </row>
    <row r="33" spans="1:11" s="2" customFormat="1" ht="80" x14ac:dyDescent="0.2">
      <c r="A33" s="85" t="s">
        <v>128</v>
      </c>
      <c r="B33" s="82" t="s">
        <v>51</v>
      </c>
      <c r="C33" s="82" t="s">
        <v>169</v>
      </c>
      <c r="D33" s="116">
        <v>235600</v>
      </c>
      <c r="E33" s="114">
        <f>Table1[[#This Row],[Total US$ ]]*$E$2</f>
        <v>4016980</v>
      </c>
      <c r="F33" s="85" t="s">
        <v>600</v>
      </c>
      <c r="G33" s="96" t="s">
        <v>537</v>
      </c>
      <c r="H33" s="109" t="s">
        <v>329</v>
      </c>
      <c r="I33" s="82" t="s">
        <v>432</v>
      </c>
      <c r="J33" s="112">
        <v>44866</v>
      </c>
      <c r="K33" s="112">
        <v>45107</v>
      </c>
    </row>
    <row r="34" spans="1:11" s="16" customFormat="1" ht="112" x14ac:dyDescent="0.2">
      <c r="A34" s="85" t="s">
        <v>128</v>
      </c>
      <c r="B34" s="81" t="s">
        <v>51</v>
      </c>
      <c r="C34" s="81" t="s">
        <v>57</v>
      </c>
      <c r="D34" s="116">
        <v>95002.6</v>
      </c>
      <c r="E34" s="114">
        <f>Table1[[#This Row],[Total US$ ]]*$E$2</f>
        <v>1619794.33</v>
      </c>
      <c r="F34" s="85" t="s">
        <v>600</v>
      </c>
      <c r="G34" s="83" t="s">
        <v>538</v>
      </c>
      <c r="H34" s="109" t="s">
        <v>329</v>
      </c>
      <c r="I34" s="82" t="s">
        <v>433</v>
      </c>
      <c r="J34" s="112">
        <v>44866</v>
      </c>
      <c r="K34" s="112">
        <v>45107</v>
      </c>
    </row>
    <row r="35" spans="1:11" s="2" customFormat="1" ht="128" x14ac:dyDescent="0.2">
      <c r="A35" s="85" t="s">
        <v>125</v>
      </c>
      <c r="B35" s="82" t="s">
        <v>73</v>
      </c>
      <c r="C35" s="82" t="s">
        <v>13</v>
      </c>
      <c r="D35" s="116">
        <v>247021.63999999998</v>
      </c>
      <c r="E35" s="114">
        <f>Table1[[#This Row],[Total US$ ]]*$E$2</f>
        <v>4211718.9620000003</v>
      </c>
      <c r="F35" s="85" t="s">
        <v>600</v>
      </c>
      <c r="G35" s="96" t="s">
        <v>107</v>
      </c>
      <c r="H35" s="109" t="s">
        <v>329</v>
      </c>
      <c r="I35" s="82" t="s">
        <v>434</v>
      </c>
      <c r="J35" s="111">
        <v>44835</v>
      </c>
      <c r="K35" s="111">
        <v>45199</v>
      </c>
    </row>
    <row r="36" spans="1:11" s="2" customFormat="1" ht="96" x14ac:dyDescent="0.2">
      <c r="A36" s="85" t="s">
        <v>128</v>
      </c>
      <c r="B36" s="82" t="s">
        <v>74</v>
      </c>
      <c r="C36" s="82" t="s">
        <v>63</v>
      </c>
      <c r="D36" s="116">
        <v>30646.354607700545</v>
      </c>
      <c r="E36" s="114">
        <f>Table1[[#This Row],[Total US$ ]]*$E$2</f>
        <v>522520.34606129432</v>
      </c>
      <c r="F36" s="85" t="s">
        <v>600</v>
      </c>
      <c r="G36" s="96" t="s">
        <v>107</v>
      </c>
      <c r="H36" s="109" t="s">
        <v>329</v>
      </c>
      <c r="I36" s="82" t="s">
        <v>591</v>
      </c>
      <c r="J36" s="112">
        <v>44501</v>
      </c>
      <c r="K36" s="111">
        <v>44681</v>
      </c>
    </row>
    <row r="37" spans="1:11" s="20" customFormat="1" ht="96" x14ac:dyDescent="0.2">
      <c r="A37" s="85" t="s">
        <v>128</v>
      </c>
      <c r="B37" s="81" t="s">
        <v>75</v>
      </c>
      <c r="C37" s="81" t="s">
        <v>64</v>
      </c>
      <c r="D37" s="116">
        <v>49643.4</v>
      </c>
      <c r="E37" s="114">
        <f>Table1[[#This Row],[Total US$ ]]*$E$2</f>
        <v>846419.97000000009</v>
      </c>
      <c r="F37" s="85" t="s">
        <v>600</v>
      </c>
      <c r="G37" s="83" t="s">
        <v>108</v>
      </c>
      <c r="H37" s="109" t="s">
        <v>329</v>
      </c>
      <c r="I37" s="82" t="s">
        <v>592</v>
      </c>
      <c r="J37" s="111">
        <v>44501</v>
      </c>
      <c r="K37" s="111">
        <v>45290</v>
      </c>
    </row>
    <row r="38" spans="1:11" s="20" customFormat="1" ht="64" x14ac:dyDescent="0.2">
      <c r="A38" s="85" t="s">
        <v>128</v>
      </c>
      <c r="B38" s="81" t="s">
        <v>76</v>
      </c>
      <c r="C38" s="81" t="s">
        <v>65</v>
      </c>
      <c r="D38" s="116">
        <v>228777.52</v>
      </c>
      <c r="E38" s="114">
        <f>Table1[[#This Row],[Total US$ ]]*$E$2</f>
        <v>3900656.716</v>
      </c>
      <c r="F38" s="85" t="s">
        <v>600</v>
      </c>
      <c r="G38" s="83" t="s">
        <v>539</v>
      </c>
      <c r="H38" s="109" t="s">
        <v>329</v>
      </c>
      <c r="I38" s="82" t="s">
        <v>593</v>
      </c>
      <c r="J38" s="112">
        <v>44501</v>
      </c>
      <c r="K38" s="111">
        <v>45015</v>
      </c>
    </row>
    <row r="39" spans="1:11" s="20" customFormat="1" ht="48" x14ac:dyDescent="0.2">
      <c r="A39" s="85" t="s">
        <v>128</v>
      </c>
      <c r="B39" s="81" t="s">
        <v>77</v>
      </c>
      <c r="C39" s="81" t="s">
        <v>18</v>
      </c>
      <c r="D39" s="116">
        <v>86800</v>
      </c>
      <c r="E39" s="114">
        <f>Table1[[#This Row],[Total US$ ]]*$E$2</f>
        <v>1479940</v>
      </c>
      <c r="F39" s="85" t="s">
        <v>600</v>
      </c>
      <c r="G39" s="83" t="s">
        <v>107</v>
      </c>
      <c r="H39" s="109" t="s">
        <v>329</v>
      </c>
      <c r="I39" s="82" t="s">
        <v>435</v>
      </c>
      <c r="J39" s="111">
        <v>44927</v>
      </c>
      <c r="K39" s="111"/>
    </row>
    <row r="40" spans="1:11" s="16" customFormat="1" ht="128" x14ac:dyDescent="0.2">
      <c r="A40" s="85" t="s">
        <v>128</v>
      </c>
      <c r="B40" s="81" t="s">
        <v>78</v>
      </c>
      <c r="C40" s="81" t="s">
        <v>66</v>
      </c>
      <c r="D40" s="116">
        <v>1179789.9995199998</v>
      </c>
      <c r="E40" s="114">
        <f>Table1[[#This Row],[Total US$ ]]*$E$2</f>
        <v>20115419.491815999</v>
      </c>
      <c r="F40" s="85" t="s">
        <v>600</v>
      </c>
      <c r="G40" s="83" t="s">
        <v>540</v>
      </c>
      <c r="H40" s="109" t="s">
        <v>329</v>
      </c>
      <c r="I40" s="82" t="s">
        <v>436</v>
      </c>
      <c r="J40" s="112">
        <v>44501</v>
      </c>
      <c r="K40" s="111">
        <v>46387</v>
      </c>
    </row>
    <row r="41" spans="1:11" s="16" customFormat="1" ht="64" x14ac:dyDescent="0.2">
      <c r="A41" s="85" t="s">
        <v>128</v>
      </c>
      <c r="B41" s="81" t="s">
        <v>82</v>
      </c>
      <c r="C41" s="81" t="s">
        <v>18</v>
      </c>
      <c r="D41" s="116">
        <v>867733.4</v>
      </c>
      <c r="E41" s="114">
        <f>Table1[[#This Row],[Total US$ ]]*$E$2</f>
        <v>14794854.470000001</v>
      </c>
      <c r="F41" s="85" t="s">
        <v>600</v>
      </c>
      <c r="G41" s="83"/>
      <c r="H41" s="109" t="s">
        <v>329</v>
      </c>
      <c r="I41" s="82" t="s">
        <v>437</v>
      </c>
      <c r="J41" s="111">
        <v>45047</v>
      </c>
      <c r="K41" s="111">
        <v>46021</v>
      </c>
    </row>
    <row r="42" spans="1:11" s="16" customFormat="1" ht="48" x14ac:dyDescent="0.2">
      <c r="A42" s="85" t="s">
        <v>129</v>
      </c>
      <c r="B42" s="81" t="s">
        <v>17</v>
      </c>
      <c r="C42" s="81" t="s">
        <v>594</v>
      </c>
      <c r="D42" s="116">
        <v>1736000</v>
      </c>
      <c r="E42" s="114">
        <f>Table1[[#This Row],[Total US$ ]]*$E$2</f>
        <v>29598800</v>
      </c>
      <c r="F42" s="85" t="s">
        <v>600</v>
      </c>
      <c r="G42" s="83" t="s">
        <v>541</v>
      </c>
      <c r="H42" s="109" t="s">
        <v>329</v>
      </c>
      <c r="I42" s="82" t="s">
        <v>438</v>
      </c>
      <c r="J42" s="111">
        <v>45170</v>
      </c>
      <c r="K42" s="111">
        <v>46022</v>
      </c>
    </row>
    <row r="43" spans="1:11" s="34" customFormat="1" ht="176" x14ac:dyDescent="0.2">
      <c r="A43" s="85" t="s">
        <v>126</v>
      </c>
      <c r="B43" s="81" t="s">
        <v>180</v>
      </c>
      <c r="C43" s="81" t="s">
        <v>178</v>
      </c>
      <c r="D43" s="116">
        <v>49600</v>
      </c>
      <c r="E43" s="114">
        <f>Table1[[#This Row],[Total US$ ]]*$E$2</f>
        <v>845680</v>
      </c>
      <c r="F43" s="85" t="s">
        <v>600</v>
      </c>
      <c r="G43" s="83" t="s">
        <v>542</v>
      </c>
      <c r="H43" s="109" t="s">
        <v>329</v>
      </c>
      <c r="I43" s="82" t="s">
        <v>439</v>
      </c>
      <c r="J43" s="111">
        <v>45170</v>
      </c>
      <c r="K43" s="111">
        <v>45200</v>
      </c>
    </row>
    <row r="44" spans="1:11" s="34" customFormat="1" ht="96" x14ac:dyDescent="0.2">
      <c r="A44" s="85" t="s">
        <v>129</v>
      </c>
      <c r="B44" s="81" t="s">
        <v>181</v>
      </c>
      <c r="C44" s="81" t="s">
        <v>182</v>
      </c>
      <c r="D44" s="116">
        <v>36506.839999999997</v>
      </c>
      <c r="E44" s="114">
        <f>Table1[[#This Row],[Total US$ ]]*$E$2</f>
        <v>622441.62199999997</v>
      </c>
      <c r="F44" s="85" t="s">
        <v>600</v>
      </c>
      <c r="G44" s="83"/>
      <c r="H44" s="109" t="s">
        <v>329</v>
      </c>
      <c r="I44" s="82" t="s">
        <v>440</v>
      </c>
      <c r="J44" s="111">
        <v>45170</v>
      </c>
      <c r="K44" s="111">
        <v>45595</v>
      </c>
    </row>
    <row r="45" spans="1:11" s="34" customFormat="1" ht="48" x14ac:dyDescent="0.2">
      <c r="A45" s="85" t="s">
        <v>129</v>
      </c>
      <c r="B45" s="81" t="s">
        <v>595</v>
      </c>
      <c r="C45" s="120" t="s">
        <v>179</v>
      </c>
      <c r="D45" s="116">
        <v>558000</v>
      </c>
      <c r="E45" s="114">
        <f>Table1[[#This Row],[Total US$ ]]*$E$2</f>
        <v>9513900</v>
      </c>
      <c r="F45" s="85" t="s">
        <v>600</v>
      </c>
      <c r="G45" s="83" t="s">
        <v>596</v>
      </c>
      <c r="H45" s="109" t="s">
        <v>329</v>
      </c>
      <c r="I45" s="96"/>
      <c r="J45" s="111">
        <v>45108</v>
      </c>
      <c r="K45" s="111">
        <v>45382</v>
      </c>
    </row>
    <row r="46" spans="1:11" s="34" customFormat="1" ht="240" x14ac:dyDescent="0.2">
      <c r="A46" s="85" t="s">
        <v>129</v>
      </c>
      <c r="B46" s="81" t="s">
        <v>324</v>
      </c>
      <c r="C46" s="81" t="s">
        <v>179</v>
      </c>
      <c r="D46" s="116">
        <v>248000</v>
      </c>
      <c r="E46" s="114">
        <f>Table1[[#This Row],[Total US$ ]]*$E$2</f>
        <v>4228400</v>
      </c>
      <c r="F46" s="85" t="s">
        <v>600</v>
      </c>
      <c r="G46" s="83" t="s">
        <v>325</v>
      </c>
      <c r="H46" s="109" t="s">
        <v>329</v>
      </c>
      <c r="I46" s="82" t="s">
        <v>441</v>
      </c>
      <c r="J46" s="111">
        <v>45139</v>
      </c>
      <c r="K46" s="111">
        <v>45323</v>
      </c>
    </row>
    <row r="47" spans="1:11" s="34" customFormat="1" ht="304" x14ac:dyDescent="0.2">
      <c r="A47" s="85" t="s">
        <v>129</v>
      </c>
      <c r="B47" s="81" t="s">
        <v>401</v>
      </c>
      <c r="C47" s="81" t="s">
        <v>177</v>
      </c>
      <c r="D47" s="116">
        <v>372000</v>
      </c>
      <c r="E47" s="114">
        <f>Table1[[#This Row],[Total US$ ]]*$E$2</f>
        <v>6342600</v>
      </c>
      <c r="F47" s="85" t="s">
        <v>600</v>
      </c>
      <c r="G47" s="83" t="s">
        <v>543</v>
      </c>
      <c r="H47" s="109" t="s">
        <v>329</v>
      </c>
      <c r="I47" s="82" t="s">
        <v>442</v>
      </c>
      <c r="J47" s="112"/>
      <c r="K47" s="112"/>
    </row>
    <row r="48" spans="1:11" s="35" customFormat="1" ht="240" x14ac:dyDescent="0.2">
      <c r="A48" s="85" t="s">
        <v>125</v>
      </c>
      <c r="B48" s="82" t="s">
        <v>326</v>
      </c>
      <c r="C48" s="82" t="s">
        <v>66</v>
      </c>
      <c r="D48" s="116">
        <v>2900000.0032000002</v>
      </c>
      <c r="E48" s="114">
        <f>Table1[[#This Row],[Total US$ ]]*$E$2</f>
        <v>49445000.054560006</v>
      </c>
      <c r="F48" s="85" t="s">
        <v>600</v>
      </c>
      <c r="G48" s="96" t="s">
        <v>544</v>
      </c>
      <c r="H48" s="109" t="s">
        <v>329</v>
      </c>
      <c r="I48" s="82" t="s">
        <v>443</v>
      </c>
      <c r="J48" s="111">
        <v>44501</v>
      </c>
      <c r="K48" s="111">
        <v>46387</v>
      </c>
    </row>
    <row r="49" spans="1:11" s="34" customFormat="1" ht="256" x14ac:dyDescent="0.2">
      <c r="A49" s="85" t="s">
        <v>125</v>
      </c>
      <c r="B49" s="81" t="s">
        <v>326</v>
      </c>
      <c r="C49" s="81" t="s">
        <v>66</v>
      </c>
      <c r="D49" s="116">
        <v>2900000.0032000002</v>
      </c>
      <c r="E49" s="114">
        <f>Table1[[#This Row],[Total US$ ]]*$E$2</f>
        <v>49445000.054560006</v>
      </c>
      <c r="F49" s="85" t="s">
        <v>600</v>
      </c>
      <c r="G49" s="83" t="s">
        <v>545</v>
      </c>
      <c r="H49" s="109" t="s">
        <v>329</v>
      </c>
      <c r="I49" s="82" t="s">
        <v>444</v>
      </c>
      <c r="J49" s="111">
        <v>44501</v>
      </c>
      <c r="K49" s="111">
        <v>46387</v>
      </c>
    </row>
    <row r="50" spans="1:11" s="121" customFormat="1" ht="48" x14ac:dyDescent="0.2">
      <c r="A50" s="85" t="s">
        <v>125</v>
      </c>
      <c r="B50" s="81" t="s">
        <v>0</v>
      </c>
      <c r="C50" s="82" t="s">
        <v>344</v>
      </c>
      <c r="D50" s="116">
        <v>7560000.0000000009</v>
      </c>
      <c r="E50" s="114">
        <f>Table1[[#This Row],[Total US$ ]]*$E$2</f>
        <v>128898000.00000001</v>
      </c>
      <c r="F50" s="85" t="s">
        <v>141</v>
      </c>
      <c r="G50" s="83" t="s">
        <v>618</v>
      </c>
      <c r="H50" s="109" t="s">
        <v>338</v>
      </c>
      <c r="I50" s="117" t="s">
        <v>632</v>
      </c>
      <c r="J50" s="111">
        <v>45838</v>
      </c>
      <c r="K50" s="111">
        <v>46022</v>
      </c>
    </row>
    <row r="51" spans="1:11" s="16" customFormat="1" ht="64" x14ac:dyDescent="0.2">
      <c r="A51" s="85" t="s">
        <v>125</v>
      </c>
      <c r="B51" s="81" t="s">
        <v>343</v>
      </c>
      <c r="C51" s="81" t="s">
        <v>6</v>
      </c>
      <c r="D51" s="116">
        <v>10260000</v>
      </c>
      <c r="E51" s="114">
        <f>Table1[[#This Row],[Total US$ ]]*$E$2</f>
        <v>174933000</v>
      </c>
      <c r="F51" s="85" t="s">
        <v>141</v>
      </c>
      <c r="G51" s="83" t="s">
        <v>88</v>
      </c>
      <c r="H51" s="109" t="s">
        <v>329</v>
      </c>
      <c r="I51" s="82" t="s">
        <v>445</v>
      </c>
      <c r="J51" s="112">
        <v>44501</v>
      </c>
      <c r="K51" s="112">
        <v>45291</v>
      </c>
    </row>
    <row r="52" spans="1:11" ht="48" x14ac:dyDescent="0.2">
      <c r="A52" s="85" t="s">
        <v>125</v>
      </c>
      <c r="B52" s="81" t="s">
        <v>343</v>
      </c>
      <c r="C52" s="84" t="s">
        <v>6</v>
      </c>
      <c r="D52" s="116">
        <v>16740000.000000002</v>
      </c>
      <c r="E52" s="114">
        <f>Table1[[#This Row],[Total US$ ]]*$E$2</f>
        <v>285417000.00000006</v>
      </c>
      <c r="F52" s="85" t="s">
        <v>141</v>
      </c>
      <c r="G52" s="83" t="s">
        <v>88</v>
      </c>
      <c r="H52" s="109" t="s">
        <v>329</v>
      </c>
      <c r="I52" s="82" t="s">
        <v>446</v>
      </c>
      <c r="J52" s="112">
        <v>44562</v>
      </c>
      <c r="K52" s="111">
        <v>45930</v>
      </c>
    </row>
    <row r="53" spans="1:11" s="16" customFormat="1" ht="48" x14ac:dyDescent="0.2">
      <c r="A53" s="85" t="s">
        <v>126</v>
      </c>
      <c r="B53" s="81" t="s">
        <v>343</v>
      </c>
      <c r="C53" s="81" t="s">
        <v>6</v>
      </c>
      <c r="D53" s="116">
        <v>3240000</v>
      </c>
      <c r="E53" s="114">
        <f>Table1[[#This Row],[Total US$ ]]*$E$2</f>
        <v>55242000</v>
      </c>
      <c r="F53" s="85" t="s">
        <v>141</v>
      </c>
      <c r="G53" s="83" t="s">
        <v>89</v>
      </c>
      <c r="H53" s="109" t="s">
        <v>329</v>
      </c>
      <c r="I53" s="82" t="s">
        <v>447</v>
      </c>
      <c r="J53" s="112">
        <v>44501</v>
      </c>
      <c r="K53" s="112">
        <v>45838</v>
      </c>
    </row>
    <row r="54" spans="1:11" s="16" customFormat="1" ht="32" x14ac:dyDescent="0.2">
      <c r="A54" s="85" t="s">
        <v>125</v>
      </c>
      <c r="B54" s="81" t="s">
        <v>343</v>
      </c>
      <c r="C54" s="81"/>
      <c r="D54" s="116">
        <v>2376000</v>
      </c>
      <c r="E54" s="114">
        <f>Table1[[#This Row],[Total US$ ]]*$E$2</f>
        <v>40510800</v>
      </c>
      <c r="F54" s="85" t="s">
        <v>141</v>
      </c>
      <c r="G54" s="83" t="s">
        <v>548</v>
      </c>
      <c r="H54" s="109" t="s">
        <v>329</v>
      </c>
      <c r="I54" s="82" t="s">
        <v>448</v>
      </c>
      <c r="J54" s="112">
        <v>44501</v>
      </c>
      <c r="K54" s="112">
        <v>45291</v>
      </c>
    </row>
    <row r="55" spans="1:11" s="121" customFormat="1" ht="32" x14ac:dyDescent="0.2">
      <c r="A55" s="85" t="s">
        <v>125</v>
      </c>
      <c r="B55" s="81" t="s">
        <v>343</v>
      </c>
      <c r="C55" s="81" t="s">
        <v>6</v>
      </c>
      <c r="D55" s="116">
        <v>4860000</v>
      </c>
      <c r="E55" s="114">
        <f>Table1[[#This Row],[Total US$ ]]*$E$2</f>
        <v>82863000</v>
      </c>
      <c r="F55" s="85" t="s">
        <v>141</v>
      </c>
      <c r="G55" s="83" t="s">
        <v>88</v>
      </c>
      <c r="H55" s="109" t="s">
        <v>338</v>
      </c>
      <c r="I55" s="81" t="s">
        <v>633</v>
      </c>
      <c r="J55" s="112">
        <v>45292</v>
      </c>
      <c r="K55" s="112">
        <v>46387</v>
      </c>
    </row>
    <row r="56" spans="1:11" s="16" customFormat="1" ht="409.6" x14ac:dyDescent="0.2">
      <c r="A56" s="85" t="s">
        <v>129</v>
      </c>
      <c r="B56" s="81" t="s">
        <v>17</v>
      </c>
      <c r="C56" s="81" t="s">
        <v>6</v>
      </c>
      <c r="D56" s="116">
        <v>16200000.000000002</v>
      </c>
      <c r="E56" s="114">
        <f>Table1[[#This Row],[Total US$ ]]*$E$2</f>
        <v>276210000.00000006</v>
      </c>
      <c r="F56" s="85" t="s">
        <v>141</v>
      </c>
      <c r="G56" s="83" t="s">
        <v>94</v>
      </c>
      <c r="H56" s="109" t="s">
        <v>329</v>
      </c>
      <c r="I56" s="82" t="s">
        <v>449</v>
      </c>
      <c r="J56" s="112">
        <v>44713</v>
      </c>
      <c r="K56" s="112">
        <v>46630</v>
      </c>
    </row>
    <row r="57" spans="1:11" s="16" customFormat="1" ht="48" x14ac:dyDescent="0.2">
      <c r="A57" s="85" t="s">
        <v>156</v>
      </c>
      <c r="B57" s="81" t="s">
        <v>26</v>
      </c>
      <c r="C57" s="81" t="s">
        <v>344</v>
      </c>
      <c r="D57" s="116">
        <v>21600000</v>
      </c>
      <c r="E57" s="114">
        <f>Table1[[#This Row],[Total US$ ]]*$E$2</f>
        <v>368280000</v>
      </c>
      <c r="F57" s="85" t="s">
        <v>141</v>
      </c>
      <c r="G57" s="83" t="s">
        <v>546</v>
      </c>
      <c r="H57" s="109" t="s">
        <v>329</v>
      </c>
      <c r="I57" s="82" t="s">
        <v>450</v>
      </c>
      <c r="J57" s="112">
        <v>44562</v>
      </c>
      <c r="K57" s="112">
        <v>47118</v>
      </c>
    </row>
    <row r="58" spans="1:11" s="121" customFormat="1" ht="32" x14ac:dyDescent="0.2">
      <c r="A58" s="85" t="s">
        <v>156</v>
      </c>
      <c r="B58" s="81" t="s">
        <v>26</v>
      </c>
      <c r="C58" s="81" t="s">
        <v>344</v>
      </c>
      <c r="D58" s="122">
        <v>21600000</v>
      </c>
      <c r="E58" s="114">
        <f>Table1[[#This Row],[Total US$ ]]*$E$2</f>
        <v>368280000</v>
      </c>
      <c r="F58" s="85" t="s">
        <v>141</v>
      </c>
      <c r="G58" s="83" t="s">
        <v>622</v>
      </c>
      <c r="H58" s="109" t="s">
        <v>338</v>
      </c>
      <c r="I58" s="81" t="s">
        <v>634</v>
      </c>
      <c r="J58" s="112">
        <v>45292</v>
      </c>
      <c r="K58" s="112">
        <v>47848</v>
      </c>
    </row>
    <row r="59" spans="1:11" s="16" customFormat="1" ht="64" x14ac:dyDescent="0.2">
      <c r="A59" s="85" t="s">
        <v>96</v>
      </c>
      <c r="B59" s="81" t="s">
        <v>39</v>
      </c>
      <c r="C59" s="81" t="s">
        <v>344</v>
      </c>
      <c r="D59" s="116">
        <v>20520000</v>
      </c>
      <c r="E59" s="114">
        <f>Table1[[#This Row],[Total US$ ]]*$E$2</f>
        <v>349866000</v>
      </c>
      <c r="F59" s="85" t="s">
        <v>141</v>
      </c>
      <c r="G59" s="83" t="s">
        <v>547</v>
      </c>
      <c r="H59" s="109" t="s">
        <v>329</v>
      </c>
      <c r="I59" s="82" t="s">
        <v>451</v>
      </c>
      <c r="J59" s="112">
        <v>44501</v>
      </c>
      <c r="K59" s="112">
        <v>46387</v>
      </c>
    </row>
    <row r="60" spans="1:11" s="2" customFormat="1" ht="32" x14ac:dyDescent="0.2">
      <c r="A60" s="85" t="s">
        <v>126</v>
      </c>
      <c r="B60" s="82" t="s">
        <v>45</v>
      </c>
      <c r="C60" s="82" t="s">
        <v>344</v>
      </c>
      <c r="D60" s="116">
        <v>24840000</v>
      </c>
      <c r="E60" s="114">
        <f>Table1[[#This Row],[Total US$ ]]*$E$2</f>
        <v>423522000</v>
      </c>
      <c r="F60" s="85" t="s">
        <v>141</v>
      </c>
      <c r="G60" s="96" t="s">
        <v>549</v>
      </c>
      <c r="H60" s="109" t="s">
        <v>338</v>
      </c>
      <c r="I60" s="117" t="s">
        <v>47</v>
      </c>
      <c r="J60" s="112">
        <v>44927</v>
      </c>
      <c r="K60" s="112">
        <v>47483</v>
      </c>
    </row>
    <row r="61" spans="1:11" s="2" customFormat="1" ht="48" x14ac:dyDescent="0.2">
      <c r="A61" s="85" t="s">
        <v>126</v>
      </c>
      <c r="B61" s="82" t="s">
        <v>45</v>
      </c>
      <c r="C61" s="82" t="s">
        <v>6</v>
      </c>
      <c r="D61" s="116">
        <v>16740000.000000002</v>
      </c>
      <c r="E61" s="114">
        <f>Table1[[#This Row],[Total US$ ]]*$E$2</f>
        <v>285417000.00000006</v>
      </c>
      <c r="F61" s="85" t="s">
        <v>141</v>
      </c>
      <c r="G61" s="96" t="s">
        <v>550</v>
      </c>
      <c r="H61" s="109" t="s">
        <v>329</v>
      </c>
      <c r="I61" s="82" t="s">
        <v>452</v>
      </c>
      <c r="J61" s="112">
        <v>44501</v>
      </c>
      <c r="K61" s="112">
        <v>46022</v>
      </c>
    </row>
    <row r="62" spans="1:11" s="39" customFormat="1" ht="240" x14ac:dyDescent="0.2">
      <c r="A62" s="85" t="s">
        <v>128</v>
      </c>
      <c r="B62" s="81" t="s">
        <v>51</v>
      </c>
      <c r="C62" s="82" t="s">
        <v>344</v>
      </c>
      <c r="D62" s="116">
        <v>11880000</v>
      </c>
      <c r="E62" s="114">
        <f>Table1[[#This Row],[Total US$ ]]*$E$2</f>
        <v>202554000</v>
      </c>
      <c r="F62" s="85" t="s">
        <v>141</v>
      </c>
      <c r="G62" s="83" t="s">
        <v>626</v>
      </c>
      <c r="H62" s="109" t="s">
        <v>338</v>
      </c>
      <c r="I62" s="81" t="s">
        <v>635</v>
      </c>
      <c r="J62" s="112">
        <v>44927</v>
      </c>
      <c r="K62" s="112">
        <v>47117</v>
      </c>
    </row>
    <row r="63" spans="1:11" s="39" customFormat="1" ht="224" x14ac:dyDescent="0.2">
      <c r="A63" s="85" t="s">
        <v>128</v>
      </c>
      <c r="B63" s="81" t="s">
        <v>51</v>
      </c>
      <c r="C63" s="82" t="s">
        <v>344</v>
      </c>
      <c r="D63" s="116">
        <v>10800000</v>
      </c>
      <c r="E63" s="114">
        <f>Table1[[#This Row],[Total US$ ]]*$E$2</f>
        <v>184140000</v>
      </c>
      <c r="F63" s="85" t="s">
        <v>141</v>
      </c>
      <c r="G63" s="83" t="s">
        <v>627</v>
      </c>
      <c r="H63" s="109" t="s">
        <v>338</v>
      </c>
      <c r="I63" s="81" t="s">
        <v>636</v>
      </c>
      <c r="J63" s="112">
        <v>45292</v>
      </c>
      <c r="K63" s="112">
        <v>47483</v>
      </c>
    </row>
    <row r="64" spans="1:11" s="16" customFormat="1" ht="32" x14ac:dyDescent="0.2">
      <c r="A64" s="85" t="s">
        <v>128</v>
      </c>
      <c r="B64" s="81" t="s">
        <v>51</v>
      </c>
      <c r="C64" s="81" t="s">
        <v>6</v>
      </c>
      <c r="D64" s="116">
        <v>6480000</v>
      </c>
      <c r="E64" s="114">
        <f>Table1[[#This Row],[Total US$ ]]*$E$2</f>
        <v>110484000</v>
      </c>
      <c r="F64" s="85" t="s">
        <v>141</v>
      </c>
      <c r="G64" s="83" t="s">
        <v>551</v>
      </c>
      <c r="H64" s="109" t="s">
        <v>329</v>
      </c>
      <c r="I64" s="82" t="s">
        <v>453</v>
      </c>
      <c r="J64" s="112">
        <v>44713</v>
      </c>
      <c r="K64" s="112">
        <v>45808</v>
      </c>
    </row>
    <row r="65" spans="1:11" s="16" customFormat="1" ht="32" x14ac:dyDescent="0.2">
      <c r="A65" s="85" t="s">
        <v>128</v>
      </c>
      <c r="B65" s="81" t="s">
        <v>51</v>
      </c>
      <c r="C65" s="81" t="s">
        <v>6</v>
      </c>
      <c r="D65" s="116">
        <v>6480000</v>
      </c>
      <c r="E65" s="114">
        <f>Table1[[#This Row],[Total US$ ]]*$E$2</f>
        <v>110484000</v>
      </c>
      <c r="F65" s="85" t="s">
        <v>141</v>
      </c>
      <c r="G65" s="83" t="s">
        <v>105</v>
      </c>
      <c r="H65" s="109" t="s">
        <v>329</v>
      </c>
      <c r="I65" s="81" t="s">
        <v>454</v>
      </c>
      <c r="J65" s="112">
        <v>44501</v>
      </c>
      <c r="K65" s="112">
        <v>45382</v>
      </c>
    </row>
    <row r="66" spans="1:11" s="16" customFormat="1" ht="48" x14ac:dyDescent="0.2">
      <c r="A66" s="85" t="s">
        <v>96</v>
      </c>
      <c r="B66" s="81" t="s">
        <v>80</v>
      </c>
      <c r="C66" s="81" t="s">
        <v>6</v>
      </c>
      <c r="D66" s="116">
        <v>5400000</v>
      </c>
      <c r="E66" s="114">
        <f>Table1[[#This Row],[Total US$ ]]*$E$2</f>
        <v>92070000</v>
      </c>
      <c r="F66" s="85" t="s">
        <v>141</v>
      </c>
      <c r="G66" s="83" t="s">
        <v>552</v>
      </c>
      <c r="H66" s="109" t="s">
        <v>329</v>
      </c>
      <c r="I66" s="82" t="s">
        <v>455</v>
      </c>
      <c r="J66" s="111">
        <v>44562</v>
      </c>
      <c r="K66" s="111">
        <v>46387</v>
      </c>
    </row>
    <row r="67" spans="1:11" s="16" customFormat="1" ht="32" x14ac:dyDescent="0.2">
      <c r="A67" s="85" t="s">
        <v>129</v>
      </c>
      <c r="B67" s="81" t="s">
        <v>81</v>
      </c>
      <c r="C67" s="81" t="s">
        <v>6</v>
      </c>
      <c r="D67" s="116">
        <v>378000</v>
      </c>
      <c r="E67" s="114">
        <f>Table1[[#This Row],[Total US$ ]]*$E$2</f>
        <v>6444900</v>
      </c>
      <c r="F67" s="85" t="s">
        <v>141</v>
      </c>
      <c r="G67" s="83" t="s">
        <v>553</v>
      </c>
      <c r="H67" s="109" t="s">
        <v>329</v>
      </c>
      <c r="I67" s="82" t="s">
        <v>28</v>
      </c>
      <c r="J67" s="111">
        <v>44713</v>
      </c>
      <c r="K67" s="111">
        <v>45657</v>
      </c>
    </row>
    <row r="68" spans="1:11" s="16" customFormat="1" ht="16" x14ac:dyDescent="0.2">
      <c r="A68" s="85" t="s">
        <v>129</v>
      </c>
      <c r="B68" s="81" t="s">
        <v>176</v>
      </c>
      <c r="C68" s="81" t="s">
        <v>6</v>
      </c>
      <c r="D68" s="116">
        <v>280800</v>
      </c>
      <c r="E68" s="114">
        <f>Table1[[#This Row],[Total US$ ]]*$E$2</f>
        <v>4787640</v>
      </c>
      <c r="F68" s="85" t="s">
        <v>141</v>
      </c>
      <c r="G68" s="83"/>
      <c r="H68" s="109" t="s">
        <v>329</v>
      </c>
      <c r="I68" s="82"/>
      <c r="J68" s="111">
        <v>44896</v>
      </c>
      <c r="K68" s="111">
        <v>46111</v>
      </c>
    </row>
    <row r="69" spans="1:11" s="121" customFormat="1" ht="96" x14ac:dyDescent="0.2">
      <c r="A69" s="85" t="s">
        <v>129</v>
      </c>
      <c r="B69" s="81" t="s">
        <v>629</v>
      </c>
      <c r="C69" s="81" t="s">
        <v>630</v>
      </c>
      <c r="D69" s="116">
        <v>32400000.000000004</v>
      </c>
      <c r="E69" s="114">
        <f>Table1[[#This Row],[Total US$ ]]*$E$2</f>
        <v>552420000.00000012</v>
      </c>
      <c r="F69" s="85" t="s">
        <v>141</v>
      </c>
      <c r="G69" s="83"/>
      <c r="H69" s="109" t="s">
        <v>338</v>
      </c>
      <c r="I69" s="81"/>
      <c r="J69" s="112">
        <v>45505</v>
      </c>
      <c r="K69" s="112">
        <v>46598</v>
      </c>
    </row>
    <row r="70" spans="1:11" s="121" customFormat="1" ht="80" x14ac:dyDescent="0.2">
      <c r="A70" s="85" t="s">
        <v>126</v>
      </c>
      <c r="B70" s="82" t="s">
        <v>398</v>
      </c>
      <c r="C70" s="82" t="s">
        <v>631</v>
      </c>
      <c r="D70" s="116">
        <v>32400000.000000004</v>
      </c>
      <c r="E70" s="114">
        <f>Table1[[#This Row],[Total US$ ]]*$E$2</f>
        <v>552420000.00000012</v>
      </c>
      <c r="F70" s="85" t="s">
        <v>141</v>
      </c>
      <c r="G70" s="83"/>
      <c r="H70" s="109" t="s">
        <v>329</v>
      </c>
      <c r="I70" s="81" t="s">
        <v>406</v>
      </c>
      <c r="J70" s="112">
        <v>44564</v>
      </c>
      <c r="K70" s="112">
        <v>45657</v>
      </c>
    </row>
    <row r="71" spans="1:11" s="121" customFormat="1" ht="208" x14ac:dyDescent="0.2">
      <c r="A71" s="85" t="s">
        <v>126</v>
      </c>
      <c r="B71" s="82" t="s">
        <v>399</v>
      </c>
      <c r="C71" s="82" t="s">
        <v>405</v>
      </c>
      <c r="D71" s="116">
        <v>4320000</v>
      </c>
      <c r="E71" s="114">
        <f>Table1[[#This Row],[Total US$ ]]*$E$2</f>
        <v>73656000</v>
      </c>
      <c r="F71" s="85" t="s">
        <v>141</v>
      </c>
      <c r="G71" s="83"/>
      <c r="H71" s="109" t="s">
        <v>329</v>
      </c>
      <c r="I71" s="81" t="s">
        <v>407</v>
      </c>
      <c r="J71" s="112">
        <v>44837</v>
      </c>
      <c r="K71" s="112">
        <v>45930</v>
      </c>
    </row>
    <row r="72" spans="1:11" s="2" customFormat="1" ht="64" x14ac:dyDescent="0.2">
      <c r="A72" s="85" t="s">
        <v>125</v>
      </c>
      <c r="B72" s="82" t="s">
        <v>0</v>
      </c>
      <c r="C72" s="82" t="s">
        <v>4</v>
      </c>
      <c r="D72" s="116">
        <v>680400</v>
      </c>
      <c r="E72" s="114">
        <f>Table1[[#This Row],[Total US$ ]]*$E$2</f>
        <v>11600820</v>
      </c>
      <c r="F72" s="85" t="s">
        <v>140</v>
      </c>
      <c r="G72" s="96" t="s">
        <v>554</v>
      </c>
      <c r="H72" s="109" t="s">
        <v>338</v>
      </c>
      <c r="I72" s="82" t="s">
        <v>456</v>
      </c>
      <c r="J72" s="111">
        <v>44562</v>
      </c>
      <c r="K72" s="111">
        <v>45291</v>
      </c>
    </row>
    <row r="73" spans="1:11" s="16" customFormat="1" ht="96" x14ac:dyDescent="0.2">
      <c r="A73" s="85" t="s">
        <v>125</v>
      </c>
      <c r="B73" s="81" t="s">
        <v>0</v>
      </c>
      <c r="C73" s="81" t="s">
        <v>13</v>
      </c>
      <c r="D73" s="116">
        <v>297000</v>
      </c>
      <c r="E73" s="114">
        <f>Table1[[#This Row],[Total US$ ]]*$E$2</f>
        <v>5063850</v>
      </c>
      <c r="F73" s="85" t="s">
        <v>140</v>
      </c>
      <c r="G73" s="83" t="s">
        <v>555</v>
      </c>
      <c r="H73" s="109" t="s">
        <v>338</v>
      </c>
      <c r="I73" s="82" t="s">
        <v>457</v>
      </c>
      <c r="J73" s="111">
        <v>44562</v>
      </c>
      <c r="K73" s="111">
        <v>45657</v>
      </c>
    </row>
    <row r="74" spans="1:11" s="16" customFormat="1" ht="96" x14ac:dyDescent="0.2">
      <c r="A74" s="85" t="s">
        <v>129</v>
      </c>
      <c r="B74" s="81" t="s">
        <v>17</v>
      </c>
      <c r="C74" s="81" t="s">
        <v>93</v>
      </c>
      <c r="D74" s="116">
        <v>540000</v>
      </c>
      <c r="E74" s="114">
        <f>Table1[[#This Row],[Total US$ ]]*$E$2</f>
        <v>9207000</v>
      </c>
      <c r="F74" s="85" t="s">
        <v>140</v>
      </c>
      <c r="G74" s="83" t="s">
        <v>556</v>
      </c>
      <c r="H74" s="109" t="s">
        <v>328</v>
      </c>
      <c r="I74" s="82" t="s">
        <v>458</v>
      </c>
      <c r="J74" s="111">
        <v>44501</v>
      </c>
      <c r="K74" s="111">
        <v>45657</v>
      </c>
    </row>
    <row r="75" spans="1:11" s="16" customFormat="1" ht="32" x14ac:dyDescent="0.2">
      <c r="A75" s="85" t="s">
        <v>129</v>
      </c>
      <c r="B75" s="81" t="s">
        <v>17</v>
      </c>
      <c r="C75" s="81" t="s">
        <v>18</v>
      </c>
      <c r="D75" s="116">
        <v>216000</v>
      </c>
      <c r="E75" s="114">
        <f>Table1[[#This Row],[Total US$ ]]*$E$2</f>
        <v>3682800</v>
      </c>
      <c r="F75" s="85" t="s">
        <v>140</v>
      </c>
      <c r="G75" s="83" t="s">
        <v>557</v>
      </c>
      <c r="H75" s="109" t="s">
        <v>328</v>
      </c>
      <c r="I75" s="81" t="s">
        <v>459</v>
      </c>
      <c r="J75" s="111">
        <v>44562</v>
      </c>
      <c r="K75" s="111">
        <v>45291</v>
      </c>
    </row>
    <row r="76" spans="1:11" s="16" customFormat="1" ht="112" x14ac:dyDescent="0.2">
      <c r="A76" s="85" t="s">
        <v>129</v>
      </c>
      <c r="B76" s="81" t="s">
        <v>157</v>
      </c>
      <c r="C76" s="81" t="s">
        <v>158</v>
      </c>
      <c r="D76" s="116">
        <v>385560</v>
      </c>
      <c r="E76" s="114">
        <f>Table1[[#This Row],[Total US$ ]]*$E$2</f>
        <v>6573798</v>
      </c>
      <c r="F76" s="85" t="s">
        <v>140</v>
      </c>
      <c r="G76" s="83" t="s">
        <v>558</v>
      </c>
      <c r="H76" s="109" t="s">
        <v>327</v>
      </c>
      <c r="I76" s="82" t="s">
        <v>460</v>
      </c>
      <c r="J76" s="112">
        <v>45078</v>
      </c>
      <c r="K76" s="111">
        <v>45657</v>
      </c>
    </row>
    <row r="77" spans="1:11" s="16" customFormat="1" ht="48" x14ac:dyDescent="0.2">
      <c r="A77" s="85" t="s">
        <v>129</v>
      </c>
      <c r="B77" s="81" t="s">
        <v>26</v>
      </c>
      <c r="C77" s="81" t="s">
        <v>166</v>
      </c>
      <c r="D77" s="116">
        <v>32400.000000000004</v>
      </c>
      <c r="E77" s="114">
        <f>Table1[[#This Row],[Total US$ ]]*$E$2</f>
        <v>552420.00000000012</v>
      </c>
      <c r="F77" s="85" t="s">
        <v>140</v>
      </c>
      <c r="G77" s="83" t="s">
        <v>559</v>
      </c>
      <c r="H77" s="109" t="s">
        <v>329</v>
      </c>
      <c r="I77" s="82" t="s">
        <v>461</v>
      </c>
      <c r="J77" s="111">
        <v>44562</v>
      </c>
      <c r="K77" s="111">
        <v>44926</v>
      </c>
    </row>
    <row r="78" spans="1:11" s="16" customFormat="1" ht="144" x14ac:dyDescent="0.2">
      <c r="A78" s="85" t="s">
        <v>125</v>
      </c>
      <c r="B78" s="81" t="s">
        <v>61</v>
      </c>
      <c r="C78" s="81" t="s">
        <v>62</v>
      </c>
      <c r="D78" s="116">
        <v>16200.000000000002</v>
      </c>
      <c r="E78" s="114">
        <f>Table1[[#This Row],[Total US$ ]]*$E$2</f>
        <v>276210.00000000006</v>
      </c>
      <c r="F78" s="85" t="s">
        <v>140</v>
      </c>
      <c r="G78" s="83" t="s">
        <v>62</v>
      </c>
      <c r="H78" s="109" t="s">
        <v>329</v>
      </c>
      <c r="I78" s="82" t="s">
        <v>462</v>
      </c>
      <c r="J78" s="111">
        <v>44501</v>
      </c>
      <c r="K78" s="111">
        <v>44560</v>
      </c>
    </row>
    <row r="79" spans="1:11" s="16" customFormat="1" ht="272" x14ac:dyDescent="0.2">
      <c r="A79" s="85" t="s">
        <v>129</v>
      </c>
      <c r="B79" s="81" t="s">
        <v>358</v>
      </c>
      <c r="C79" s="81" t="s">
        <v>363</v>
      </c>
      <c r="D79" s="116">
        <v>16200.000000000002</v>
      </c>
      <c r="E79" s="114">
        <f>Table1[[#This Row],[Total US$ ]]*$E$2</f>
        <v>276210.00000000006</v>
      </c>
      <c r="F79" s="85" t="s">
        <v>140</v>
      </c>
      <c r="G79" s="83" t="s">
        <v>363</v>
      </c>
      <c r="H79" s="109" t="s">
        <v>329</v>
      </c>
      <c r="I79" s="82" t="s">
        <v>463</v>
      </c>
      <c r="J79" s="111">
        <v>44501</v>
      </c>
      <c r="K79" s="111">
        <v>44926</v>
      </c>
    </row>
    <row r="80" spans="1:11" s="16" customFormat="1" ht="256" x14ac:dyDescent="0.2">
      <c r="A80" s="85" t="s">
        <v>129</v>
      </c>
      <c r="B80" s="81" t="s">
        <v>359</v>
      </c>
      <c r="C80" s="81" t="s">
        <v>364</v>
      </c>
      <c r="D80" s="116">
        <v>129600.00000000001</v>
      </c>
      <c r="E80" s="114">
        <f>Table1[[#This Row],[Total US$ ]]*$E$2</f>
        <v>2209680.0000000005</v>
      </c>
      <c r="F80" s="85" t="s">
        <v>140</v>
      </c>
      <c r="G80" s="83" t="s">
        <v>560</v>
      </c>
      <c r="H80" s="109" t="s">
        <v>329</v>
      </c>
      <c r="I80" s="82" t="s">
        <v>464</v>
      </c>
      <c r="J80" s="111">
        <v>44501</v>
      </c>
      <c r="K80" s="111">
        <v>44926</v>
      </c>
    </row>
    <row r="81" spans="1:11" s="16" customFormat="1" ht="128" x14ac:dyDescent="0.2">
      <c r="A81" s="85" t="s">
        <v>129</v>
      </c>
      <c r="B81" s="81" t="s">
        <v>394</v>
      </c>
      <c r="C81" s="81" t="s">
        <v>365</v>
      </c>
      <c r="D81" s="116">
        <v>21600</v>
      </c>
      <c r="E81" s="114">
        <f>Table1[[#This Row],[Total US$ ]]*$E$2</f>
        <v>368280</v>
      </c>
      <c r="F81" s="85" t="s">
        <v>140</v>
      </c>
      <c r="G81" s="83" t="s">
        <v>561</v>
      </c>
      <c r="H81" s="109" t="s">
        <v>329</v>
      </c>
      <c r="I81" s="82" t="s">
        <v>465</v>
      </c>
      <c r="J81" s="111">
        <v>44562</v>
      </c>
      <c r="K81" s="111">
        <v>45291</v>
      </c>
    </row>
    <row r="82" spans="1:11" s="16" customFormat="1" ht="272" x14ac:dyDescent="0.2">
      <c r="A82" s="85" t="s">
        <v>128</v>
      </c>
      <c r="B82" s="81" t="s">
        <v>360</v>
      </c>
      <c r="C82" s="81" t="s">
        <v>366</v>
      </c>
      <c r="D82" s="116">
        <v>378000</v>
      </c>
      <c r="E82" s="114">
        <f>Table1[[#This Row],[Total US$ ]]*$E$2</f>
        <v>6444900</v>
      </c>
      <c r="F82" s="85" t="s">
        <v>140</v>
      </c>
      <c r="G82" s="83" t="s">
        <v>562</v>
      </c>
      <c r="H82" s="109" t="s">
        <v>338</v>
      </c>
      <c r="I82" s="82" t="s">
        <v>466</v>
      </c>
      <c r="J82" s="111">
        <v>44927</v>
      </c>
      <c r="K82" s="111">
        <v>46387</v>
      </c>
    </row>
    <row r="83" spans="1:11" s="16" customFormat="1" ht="176" x14ac:dyDescent="0.2">
      <c r="A83" s="85" t="s">
        <v>128</v>
      </c>
      <c r="B83" s="81" t="s">
        <v>361</v>
      </c>
      <c r="C83" s="81" t="s">
        <v>367</v>
      </c>
      <c r="D83" s="116">
        <v>237060.00000000003</v>
      </c>
      <c r="E83" s="114">
        <f>Table1[[#This Row],[Total US$ ]]*$E$2</f>
        <v>4041873.0000000005</v>
      </c>
      <c r="F83" s="85" t="s">
        <v>140</v>
      </c>
      <c r="G83" s="83" t="s">
        <v>563</v>
      </c>
      <c r="H83" s="109" t="s">
        <v>338</v>
      </c>
      <c r="I83" s="82" t="s">
        <v>467</v>
      </c>
      <c r="J83" s="111">
        <v>44927</v>
      </c>
      <c r="K83" s="111">
        <v>46387</v>
      </c>
    </row>
    <row r="84" spans="1:11" s="16" customFormat="1" ht="128" x14ac:dyDescent="0.2">
      <c r="A84" s="85" t="s">
        <v>128</v>
      </c>
      <c r="B84" s="81" t="s">
        <v>362</v>
      </c>
      <c r="C84" s="81" t="s">
        <v>368</v>
      </c>
      <c r="D84" s="116">
        <v>226800.00000000003</v>
      </c>
      <c r="E84" s="114">
        <f>Table1[[#This Row],[Total US$ ]]*$E$2</f>
        <v>3866940.0000000005</v>
      </c>
      <c r="F84" s="85" t="s">
        <v>140</v>
      </c>
      <c r="G84" s="83" t="s">
        <v>564</v>
      </c>
      <c r="H84" s="109" t="s">
        <v>327</v>
      </c>
      <c r="I84" s="82" t="s">
        <v>468</v>
      </c>
      <c r="J84" s="111">
        <v>44927</v>
      </c>
      <c r="K84" s="111">
        <v>45657</v>
      </c>
    </row>
    <row r="85" spans="1:11" s="16" customFormat="1" ht="64" x14ac:dyDescent="0.2">
      <c r="A85" s="85" t="s">
        <v>129</v>
      </c>
      <c r="B85" s="82" t="s">
        <v>17</v>
      </c>
      <c r="C85" s="101" t="s">
        <v>11</v>
      </c>
      <c r="D85" s="116">
        <v>4000000</v>
      </c>
      <c r="E85" s="114">
        <f>Table1[[#This Row],[Total US$ ]]*$E$2</f>
        <v>68200000</v>
      </c>
      <c r="F85" s="85" t="s">
        <v>601</v>
      </c>
      <c r="G85" s="83"/>
      <c r="H85" s="109" t="s">
        <v>338</v>
      </c>
      <c r="I85" s="82" t="s">
        <v>469</v>
      </c>
      <c r="J85" s="111">
        <v>45170</v>
      </c>
      <c r="K85" s="111">
        <v>47025</v>
      </c>
    </row>
    <row r="86" spans="1:11" s="16" customFormat="1" ht="80" x14ac:dyDescent="0.2">
      <c r="A86" s="85" t="s">
        <v>128</v>
      </c>
      <c r="B86" s="82" t="s">
        <v>369</v>
      </c>
      <c r="C86" s="101" t="s">
        <v>11</v>
      </c>
      <c r="D86" s="116">
        <v>5000000</v>
      </c>
      <c r="E86" s="114">
        <f>Table1[[#This Row],[Total US$ ]]*$E$2</f>
        <v>85250000</v>
      </c>
      <c r="F86" s="85" t="s">
        <v>601</v>
      </c>
      <c r="G86" s="83"/>
      <c r="H86" s="109" t="s">
        <v>338</v>
      </c>
      <c r="I86" s="82" t="s">
        <v>470</v>
      </c>
      <c r="J86" s="111">
        <v>45170</v>
      </c>
      <c r="K86" s="111">
        <v>47025</v>
      </c>
    </row>
    <row r="87" spans="1:11" s="16" customFormat="1" ht="64" x14ac:dyDescent="0.2">
      <c r="A87" s="85" t="s">
        <v>129</v>
      </c>
      <c r="B87" s="82" t="s">
        <v>370</v>
      </c>
      <c r="C87" s="101" t="s">
        <v>11</v>
      </c>
      <c r="D87" s="116">
        <v>5000000</v>
      </c>
      <c r="E87" s="114">
        <f>Table1[[#This Row],[Total US$ ]]*$E$2</f>
        <v>85250000</v>
      </c>
      <c r="F87" s="85" t="s">
        <v>601</v>
      </c>
      <c r="G87" s="83"/>
      <c r="H87" s="109" t="s">
        <v>338</v>
      </c>
      <c r="I87" s="82" t="s">
        <v>471</v>
      </c>
      <c r="J87" s="111">
        <v>45170</v>
      </c>
      <c r="K87" s="111">
        <v>47025</v>
      </c>
    </row>
    <row r="88" spans="1:11" s="16" customFormat="1" ht="64" x14ac:dyDescent="0.2">
      <c r="A88" s="85" t="s">
        <v>129</v>
      </c>
      <c r="B88" s="82" t="s">
        <v>371</v>
      </c>
      <c r="C88" s="101" t="s">
        <v>11</v>
      </c>
      <c r="D88" s="116">
        <v>15000000</v>
      </c>
      <c r="E88" s="114">
        <f>Table1[[#This Row],[Total US$ ]]*$E$2</f>
        <v>255750000</v>
      </c>
      <c r="F88" s="85" t="s">
        <v>601</v>
      </c>
      <c r="G88" s="83"/>
      <c r="H88" s="109" t="s">
        <v>338</v>
      </c>
      <c r="I88" s="82" t="s">
        <v>474</v>
      </c>
      <c r="J88" s="111">
        <v>45170</v>
      </c>
      <c r="K88" s="111">
        <v>47025</v>
      </c>
    </row>
    <row r="89" spans="1:11" s="16" customFormat="1" ht="208" x14ac:dyDescent="0.2">
      <c r="A89" s="85" t="s">
        <v>129</v>
      </c>
      <c r="B89" s="82" t="s">
        <v>372</v>
      </c>
      <c r="C89" s="82" t="s">
        <v>378</v>
      </c>
      <c r="D89" s="116">
        <v>550000</v>
      </c>
      <c r="E89" s="114">
        <f>Table1[[#This Row],[Total US$ ]]*$E$2</f>
        <v>9377500</v>
      </c>
      <c r="F89" s="85" t="s">
        <v>601</v>
      </c>
      <c r="G89" s="83"/>
      <c r="H89" s="109" t="s">
        <v>338</v>
      </c>
      <c r="I89" s="82" t="s">
        <v>472</v>
      </c>
      <c r="J89" s="111">
        <v>45170</v>
      </c>
      <c r="K89" s="111">
        <v>47025</v>
      </c>
    </row>
    <row r="90" spans="1:11" s="16" customFormat="1" ht="80" x14ac:dyDescent="0.2">
      <c r="A90" s="85" t="s">
        <v>125</v>
      </c>
      <c r="B90" s="82" t="s">
        <v>373</v>
      </c>
      <c r="C90" s="101" t="s">
        <v>404</v>
      </c>
      <c r="D90" s="116">
        <v>380000</v>
      </c>
      <c r="E90" s="114">
        <f>Table1[[#This Row],[Total US$ ]]*$E$2</f>
        <v>6479000</v>
      </c>
      <c r="F90" s="85" t="s">
        <v>601</v>
      </c>
      <c r="G90" s="83"/>
      <c r="H90" s="109" t="s">
        <v>338</v>
      </c>
      <c r="I90" s="82" t="s">
        <v>612</v>
      </c>
      <c r="J90" s="111">
        <v>45170</v>
      </c>
      <c r="K90" s="111">
        <v>47025</v>
      </c>
    </row>
    <row r="91" spans="1:11" s="16" customFormat="1" ht="112" x14ac:dyDescent="0.2">
      <c r="A91" s="85" t="s">
        <v>125</v>
      </c>
      <c r="B91" s="82" t="s">
        <v>7</v>
      </c>
      <c r="C91" s="101" t="s">
        <v>404</v>
      </c>
      <c r="D91" s="116">
        <v>180000</v>
      </c>
      <c r="E91" s="114">
        <f>Table1[[#This Row],[Total US$ ]]*$E$2</f>
        <v>3069000</v>
      </c>
      <c r="F91" s="85" t="s">
        <v>601</v>
      </c>
      <c r="G91" s="83"/>
      <c r="H91" s="109" t="s">
        <v>338</v>
      </c>
      <c r="I91" s="82" t="s">
        <v>475</v>
      </c>
      <c r="J91" s="111">
        <v>45170</v>
      </c>
      <c r="K91" s="111">
        <v>47025</v>
      </c>
    </row>
    <row r="92" spans="1:11" s="2" customFormat="1" ht="64" x14ac:dyDescent="0.2">
      <c r="A92" s="85" t="s">
        <v>125</v>
      </c>
      <c r="B92" s="82" t="s">
        <v>374</v>
      </c>
      <c r="C92" s="101" t="s">
        <v>404</v>
      </c>
      <c r="D92" s="116">
        <v>380000</v>
      </c>
      <c r="E92" s="114">
        <f>Table1[[#This Row],[Total US$ ]]*$E$2</f>
        <v>6479000</v>
      </c>
      <c r="F92" s="85" t="s">
        <v>601</v>
      </c>
      <c r="G92" s="83"/>
      <c r="H92" s="109" t="s">
        <v>338</v>
      </c>
      <c r="I92" s="82" t="s">
        <v>476</v>
      </c>
      <c r="J92" s="111">
        <v>45170</v>
      </c>
      <c r="K92" s="111">
        <v>47025</v>
      </c>
    </row>
    <row r="93" spans="1:11" s="16" customFormat="1" ht="128" x14ac:dyDescent="0.2">
      <c r="A93" s="85" t="s">
        <v>96</v>
      </c>
      <c r="B93" s="82" t="s">
        <v>375</v>
      </c>
      <c r="C93" s="101" t="s">
        <v>404</v>
      </c>
      <c r="D93" s="116">
        <v>280000</v>
      </c>
      <c r="E93" s="114">
        <f>Table1[[#This Row],[Total US$ ]]*$E$2</f>
        <v>4774000</v>
      </c>
      <c r="F93" s="85" t="s">
        <v>601</v>
      </c>
      <c r="G93" s="83"/>
      <c r="H93" s="109" t="s">
        <v>338</v>
      </c>
      <c r="I93" s="82" t="s">
        <v>613</v>
      </c>
      <c r="J93" s="111">
        <v>45170</v>
      </c>
      <c r="K93" s="111">
        <v>47025</v>
      </c>
    </row>
    <row r="94" spans="1:11" s="16" customFormat="1" ht="64" x14ac:dyDescent="0.2">
      <c r="A94" s="85" t="s">
        <v>96</v>
      </c>
      <c r="B94" s="82" t="s">
        <v>376</v>
      </c>
      <c r="C94" s="101" t="s">
        <v>404</v>
      </c>
      <c r="D94" s="116">
        <v>280000</v>
      </c>
      <c r="E94" s="114">
        <f>Table1[[#This Row],[Total US$ ]]*$E$2</f>
        <v>4774000</v>
      </c>
      <c r="F94" s="85" t="s">
        <v>601</v>
      </c>
      <c r="G94" s="83"/>
      <c r="H94" s="109" t="s">
        <v>338</v>
      </c>
      <c r="I94" s="82" t="s">
        <v>478</v>
      </c>
      <c r="J94" s="111">
        <v>45170</v>
      </c>
      <c r="K94" s="111">
        <v>47025</v>
      </c>
    </row>
    <row r="95" spans="1:11" s="2" customFormat="1" ht="112" x14ac:dyDescent="0.2">
      <c r="A95" s="85" t="s">
        <v>125</v>
      </c>
      <c r="B95" s="82" t="s">
        <v>7</v>
      </c>
      <c r="C95" s="101" t="s">
        <v>379</v>
      </c>
      <c r="D95" s="116">
        <v>250000</v>
      </c>
      <c r="E95" s="114">
        <f>Table1[[#This Row],[Total US$ ]]*$E$2</f>
        <v>4262500</v>
      </c>
      <c r="F95" s="85" t="s">
        <v>601</v>
      </c>
      <c r="G95" s="83" t="s">
        <v>389</v>
      </c>
      <c r="H95" s="109" t="s">
        <v>338</v>
      </c>
      <c r="I95" s="82" t="s">
        <v>479</v>
      </c>
      <c r="J95" s="111">
        <v>45170</v>
      </c>
      <c r="K95" s="111">
        <v>47025</v>
      </c>
    </row>
    <row r="96" spans="1:11" s="2" customFormat="1" ht="256" x14ac:dyDescent="0.2">
      <c r="A96" s="85" t="s">
        <v>125</v>
      </c>
      <c r="B96" s="82" t="s">
        <v>7</v>
      </c>
      <c r="C96" s="101" t="s">
        <v>387</v>
      </c>
      <c r="D96" s="116">
        <v>1276740</v>
      </c>
      <c r="E96" s="114">
        <f>Table1[[#This Row],[Total US$ ]]*$E$2</f>
        <v>21768417</v>
      </c>
      <c r="F96" s="85" t="s">
        <v>601</v>
      </c>
      <c r="G96" s="83" t="s">
        <v>87</v>
      </c>
      <c r="H96" s="109" t="s">
        <v>329</v>
      </c>
      <c r="I96" s="82" t="s">
        <v>480</v>
      </c>
      <c r="J96" s="111">
        <v>45108</v>
      </c>
      <c r="K96" s="111">
        <v>45504</v>
      </c>
    </row>
    <row r="97" spans="1:11" s="2" customFormat="1" ht="208" x14ac:dyDescent="0.2">
      <c r="A97" s="85" t="s">
        <v>125</v>
      </c>
      <c r="B97" s="82" t="s">
        <v>384</v>
      </c>
      <c r="C97" s="101" t="s">
        <v>11</v>
      </c>
      <c r="D97" s="116">
        <v>8723260</v>
      </c>
      <c r="E97" s="114">
        <f>Table1[[#This Row],[Total US$ ]]*$E$2</f>
        <v>148731583</v>
      </c>
      <c r="F97" s="85" t="s">
        <v>601</v>
      </c>
      <c r="G97" s="83"/>
      <c r="H97" s="109" t="s">
        <v>338</v>
      </c>
      <c r="I97" s="82" t="s">
        <v>481</v>
      </c>
      <c r="J97" s="111">
        <v>44501</v>
      </c>
      <c r="K97" s="111">
        <v>46356</v>
      </c>
    </row>
    <row r="98" spans="1:11" s="16" customFormat="1" ht="208" x14ac:dyDescent="0.2">
      <c r="A98" s="85" t="s">
        <v>126</v>
      </c>
      <c r="B98" s="82"/>
      <c r="C98" s="101" t="s">
        <v>388</v>
      </c>
      <c r="D98" s="116">
        <v>974746</v>
      </c>
      <c r="E98" s="114">
        <f>Table1[[#This Row],[Total US$ ]]*$E$2</f>
        <v>16619419.300000001</v>
      </c>
      <c r="F98" s="85" t="s">
        <v>601</v>
      </c>
      <c r="G98" s="83"/>
      <c r="H98" s="109" t="s">
        <v>329</v>
      </c>
      <c r="I98" s="82" t="s">
        <v>482</v>
      </c>
      <c r="J98" s="111">
        <v>44743</v>
      </c>
      <c r="K98" s="111">
        <v>44957</v>
      </c>
    </row>
    <row r="99" spans="1:11" s="16" customFormat="1" ht="160" x14ac:dyDescent="0.2">
      <c r="A99" s="85" t="s">
        <v>125</v>
      </c>
      <c r="B99" s="82" t="s">
        <v>384</v>
      </c>
      <c r="C99" s="101" t="s">
        <v>11</v>
      </c>
      <c r="D99" s="116">
        <v>1025254</v>
      </c>
      <c r="E99" s="114">
        <f>Table1[[#This Row],[Total US$ ]]*$E$2</f>
        <v>17480580.699999999</v>
      </c>
      <c r="F99" s="85" t="s">
        <v>601</v>
      </c>
      <c r="G99" s="83"/>
      <c r="H99" s="109" t="s">
        <v>338</v>
      </c>
      <c r="I99" s="82" t="s">
        <v>483</v>
      </c>
      <c r="J99" s="111">
        <v>44501</v>
      </c>
      <c r="K99" s="111">
        <v>46356</v>
      </c>
    </row>
    <row r="100" spans="1:11" s="16" customFormat="1" ht="32" x14ac:dyDescent="0.2">
      <c r="A100" s="85" t="s">
        <v>129</v>
      </c>
      <c r="B100" s="82" t="s">
        <v>26</v>
      </c>
      <c r="C100" s="101" t="s">
        <v>11</v>
      </c>
      <c r="D100" s="116">
        <v>4000000</v>
      </c>
      <c r="E100" s="114">
        <f>Table1[[#This Row],[Total US$ ]]*$E$2</f>
        <v>68200000</v>
      </c>
      <c r="F100" s="85" t="s">
        <v>601</v>
      </c>
      <c r="G100" s="83" t="s">
        <v>565</v>
      </c>
      <c r="H100" s="109" t="s">
        <v>329</v>
      </c>
      <c r="I100" s="118" t="s">
        <v>484</v>
      </c>
      <c r="J100" s="111">
        <v>44928</v>
      </c>
      <c r="K100" s="111"/>
    </row>
    <row r="101" spans="1:11" s="16" customFormat="1" ht="32" x14ac:dyDescent="0.2">
      <c r="A101" s="85" t="s">
        <v>96</v>
      </c>
      <c r="B101" s="82" t="s">
        <v>32</v>
      </c>
      <c r="C101" s="101" t="s">
        <v>34</v>
      </c>
      <c r="D101" s="116">
        <v>100000</v>
      </c>
      <c r="E101" s="114">
        <f>Table1[[#This Row],[Total US$ ]]*$E$2</f>
        <v>1705000</v>
      </c>
      <c r="F101" s="85" t="s">
        <v>601</v>
      </c>
      <c r="G101" s="83" t="s">
        <v>566</v>
      </c>
      <c r="H101" s="109" t="s">
        <v>329</v>
      </c>
      <c r="I101" s="117" t="s">
        <v>33</v>
      </c>
      <c r="J101" s="111">
        <v>44562</v>
      </c>
      <c r="K101" s="111">
        <v>44926</v>
      </c>
    </row>
    <row r="102" spans="1:11" s="16" customFormat="1" ht="32" x14ac:dyDescent="0.2">
      <c r="A102" s="85" t="s">
        <v>126</v>
      </c>
      <c r="B102" s="82" t="s">
        <v>135</v>
      </c>
      <c r="C102" s="101" t="s">
        <v>46</v>
      </c>
      <c r="D102" s="116">
        <v>51420</v>
      </c>
      <c r="E102" s="114">
        <f>Table1[[#This Row],[Total US$ ]]*$E$2</f>
        <v>876711</v>
      </c>
      <c r="F102" s="85" t="s">
        <v>601</v>
      </c>
      <c r="G102" s="83" t="s">
        <v>567</v>
      </c>
      <c r="H102" s="109" t="s">
        <v>329</v>
      </c>
      <c r="I102" s="117" t="s">
        <v>385</v>
      </c>
      <c r="J102" s="112">
        <v>45019</v>
      </c>
      <c r="K102" s="112">
        <v>45380</v>
      </c>
    </row>
    <row r="103" spans="1:11" s="16" customFormat="1" ht="32" x14ac:dyDescent="0.2">
      <c r="A103" s="85" t="s">
        <v>128</v>
      </c>
      <c r="B103" s="82" t="s">
        <v>51</v>
      </c>
      <c r="C103" s="102" t="s">
        <v>55</v>
      </c>
      <c r="D103" s="116">
        <v>500000</v>
      </c>
      <c r="E103" s="114">
        <f>Table1[[#This Row],[Total US$ ]]*$E$2</f>
        <v>8525000</v>
      </c>
      <c r="F103" s="85" t="s">
        <v>601</v>
      </c>
      <c r="G103" s="83" t="s">
        <v>568</v>
      </c>
      <c r="H103" s="109" t="s">
        <v>329</v>
      </c>
      <c r="I103" s="117" t="s">
        <v>386</v>
      </c>
      <c r="J103" s="111">
        <v>44562</v>
      </c>
      <c r="K103" s="111">
        <v>46022</v>
      </c>
    </row>
    <row r="104" spans="1:11" s="16" customFormat="1" ht="32" x14ac:dyDescent="0.2">
      <c r="A104" s="85" t="s">
        <v>125</v>
      </c>
      <c r="B104" s="82" t="s">
        <v>15</v>
      </c>
      <c r="C104" s="102" t="s">
        <v>380</v>
      </c>
      <c r="D104" s="116">
        <v>580000</v>
      </c>
      <c r="E104" s="114">
        <f>Table1[[#This Row],[Total US$ ]]*$E$2</f>
        <v>9889000</v>
      </c>
      <c r="F104" s="85" t="s">
        <v>601</v>
      </c>
      <c r="G104" s="83"/>
      <c r="H104" s="109" t="s">
        <v>329</v>
      </c>
      <c r="I104" s="82" t="s">
        <v>485</v>
      </c>
      <c r="J104" s="112">
        <v>44958</v>
      </c>
      <c r="K104" s="112">
        <v>45169</v>
      </c>
    </row>
    <row r="105" spans="1:11" s="16" customFormat="1" ht="80" x14ac:dyDescent="0.2">
      <c r="A105" s="85" t="s">
        <v>125</v>
      </c>
      <c r="B105" s="82" t="s">
        <v>7</v>
      </c>
      <c r="C105" s="102" t="s">
        <v>8</v>
      </c>
      <c r="D105" s="116">
        <v>117637</v>
      </c>
      <c r="E105" s="114">
        <f>Table1[[#This Row],[Total US$ ]]*$E$2</f>
        <v>2005710.85</v>
      </c>
      <c r="F105" s="85" t="s">
        <v>601</v>
      </c>
      <c r="G105" s="107" t="s">
        <v>390</v>
      </c>
      <c r="H105" s="109" t="s">
        <v>329</v>
      </c>
      <c r="I105" s="82" t="s">
        <v>486</v>
      </c>
      <c r="J105" s="111">
        <v>45019</v>
      </c>
      <c r="K105" s="111">
        <v>45565</v>
      </c>
    </row>
    <row r="106" spans="1:11" s="2" customFormat="1" ht="80" x14ac:dyDescent="0.2">
      <c r="A106" s="85" t="s">
        <v>125</v>
      </c>
      <c r="B106" s="82" t="s">
        <v>122</v>
      </c>
      <c r="C106" s="102" t="s">
        <v>381</v>
      </c>
      <c r="D106" s="116">
        <v>544291</v>
      </c>
      <c r="E106" s="114">
        <f>Table1[[#This Row],[Total US$ ]]*$E$2</f>
        <v>9280161.5500000007</v>
      </c>
      <c r="F106" s="85" t="s">
        <v>601</v>
      </c>
      <c r="G106" s="83"/>
      <c r="H106" s="109" t="s">
        <v>329</v>
      </c>
      <c r="I106" s="82" t="s">
        <v>487</v>
      </c>
      <c r="J106" s="111">
        <v>44501</v>
      </c>
      <c r="K106" s="111">
        <v>45380</v>
      </c>
    </row>
    <row r="107" spans="1:11" s="2" customFormat="1" ht="64" x14ac:dyDescent="0.2">
      <c r="A107" s="85" t="s">
        <v>125</v>
      </c>
      <c r="B107" s="82" t="s">
        <v>10</v>
      </c>
      <c r="C107" s="102" t="s">
        <v>8</v>
      </c>
      <c r="D107" s="116">
        <v>82331</v>
      </c>
      <c r="E107" s="114">
        <f>Table1[[#This Row],[Total US$ ]]*$E$2</f>
        <v>1403743.55</v>
      </c>
      <c r="F107" s="85" t="s">
        <v>601</v>
      </c>
      <c r="G107" s="96"/>
      <c r="H107" s="109" t="s">
        <v>329</v>
      </c>
      <c r="I107" s="82" t="s">
        <v>488</v>
      </c>
      <c r="J107" s="111">
        <v>44501</v>
      </c>
      <c r="K107" s="111">
        <v>45744</v>
      </c>
    </row>
    <row r="108" spans="1:11" s="2" customFormat="1" ht="16" x14ac:dyDescent="0.2">
      <c r="A108" s="85" t="s">
        <v>125</v>
      </c>
      <c r="B108" s="82" t="s">
        <v>377</v>
      </c>
      <c r="C108" s="102" t="s">
        <v>8</v>
      </c>
      <c r="D108" s="116"/>
      <c r="E108" s="114">
        <f>Table1[[#This Row],[Total US$ ]]*$E$2</f>
        <v>0</v>
      </c>
      <c r="F108" s="85" t="s">
        <v>601</v>
      </c>
      <c r="G108" s="96"/>
      <c r="H108" s="109" t="s">
        <v>329</v>
      </c>
      <c r="I108" s="82" t="s">
        <v>489</v>
      </c>
      <c r="J108" s="111">
        <v>45019</v>
      </c>
      <c r="K108" s="111">
        <v>45138</v>
      </c>
    </row>
    <row r="109" spans="1:11" s="2" customFormat="1" ht="96" x14ac:dyDescent="0.2">
      <c r="A109" s="85" t="s">
        <v>96</v>
      </c>
      <c r="B109" s="82" t="s">
        <v>22</v>
      </c>
      <c r="C109" s="102" t="s">
        <v>8</v>
      </c>
      <c r="D109" s="116">
        <v>289656</v>
      </c>
      <c r="E109" s="114">
        <f>Table1[[#This Row],[Total US$ ]]*$E$2</f>
        <v>4938634.8</v>
      </c>
      <c r="F109" s="85" t="s">
        <v>601</v>
      </c>
      <c r="G109" s="107" t="s">
        <v>391</v>
      </c>
      <c r="H109" s="109" t="s">
        <v>329</v>
      </c>
      <c r="I109" s="82" t="s">
        <v>490</v>
      </c>
      <c r="J109" s="111">
        <v>44743</v>
      </c>
      <c r="K109" s="111">
        <v>45380</v>
      </c>
    </row>
    <row r="110" spans="1:11" s="2" customFormat="1" ht="32" x14ac:dyDescent="0.2">
      <c r="A110" s="85" t="s">
        <v>96</v>
      </c>
      <c r="B110" s="82" t="s">
        <v>30</v>
      </c>
      <c r="C110" s="102" t="s">
        <v>8</v>
      </c>
      <c r="D110" s="116">
        <v>38718</v>
      </c>
      <c r="E110" s="114">
        <f>Table1[[#This Row],[Total US$ ]]*$E$2</f>
        <v>660141.9</v>
      </c>
      <c r="F110" s="85" t="s">
        <v>601</v>
      </c>
      <c r="G110" s="107" t="s">
        <v>96</v>
      </c>
      <c r="H110" s="109" t="s">
        <v>329</v>
      </c>
      <c r="I110" s="82" t="s">
        <v>491</v>
      </c>
      <c r="J110" s="111">
        <v>44986</v>
      </c>
      <c r="K110" s="111">
        <v>45381</v>
      </c>
    </row>
    <row r="111" spans="1:11" s="2" customFormat="1" ht="96" x14ac:dyDescent="0.2">
      <c r="A111" s="85" t="s">
        <v>96</v>
      </c>
      <c r="B111" s="82" t="s">
        <v>31</v>
      </c>
      <c r="C111" s="102" t="s">
        <v>8</v>
      </c>
      <c r="D111" s="116">
        <v>579075</v>
      </c>
      <c r="E111" s="114">
        <f>Table1[[#This Row],[Total US$ ]]*$E$2</f>
        <v>9873228.75</v>
      </c>
      <c r="F111" s="85" t="s">
        <v>601</v>
      </c>
      <c r="G111" s="107" t="s">
        <v>392</v>
      </c>
      <c r="H111" s="109" t="s">
        <v>329</v>
      </c>
      <c r="I111" s="82" t="s">
        <v>492</v>
      </c>
      <c r="J111" s="111">
        <v>44501</v>
      </c>
      <c r="K111" s="111">
        <v>45380</v>
      </c>
    </row>
    <row r="112" spans="1:11" s="2" customFormat="1" ht="208" x14ac:dyDescent="0.2">
      <c r="A112" s="85" t="s">
        <v>96</v>
      </c>
      <c r="B112" s="82" t="s">
        <v>36</v>
      </c>
      <c r="C112" s="102" t="s">
        <v>8</v>
      </c>
      <c r="D112" s="116">
        <v>1746097</v>
      </c>
      <c r="E112" s="114">
        <f>Table1[[#This Row],[Total US$ ]]*$E$2</f>
        <v>29770953.850000001</v>
      </c>
      <c r="F112" s="85" t="s">
        <v>601</v>
      </c>
      <c r="G112" s="83"/>
      <c r="H112" s="109" t="s">
        <v>329</v>
      </c>
      <c r="I112" s="82" t="s">
        <v>493</v>
      </c>
      <c r="J112" s="111">
        <v>44501</v>
      </c>
      <c r="K112" s="111">
        <v>45380</v>
      </c>
    </row>
    <row r="113" spans="1:11" s="2" customFormat="1" ht="128" x14ac:dyDescent="0.2">
      <c r="A113" s="85" t="s">
        <v>96</v>
      </c>
      <c r="B113" s="82" t="s">
        <v>36</v>
      </c>
      <c r="C113" s="102" t="s">
        <v>8</v>
      </c>
      <c r="D113" s="116">
        <v>227368</v>
      </c>
      <c r="E113" s="114">
        <f>Table1[[#This Row],[Total US$ ]]*$E$2</f>
        <v>3876624.4000000004</v>
      </c>
      <c r="F113" s="85" t="s">
        <v>601</v>
      </c>
      <c r="G113" s="107" t="s">
        <v>42</v>
      </c>
      <c r="H113" s="109" t="s">
        <v>329</v>
      </c>
      <c r="I113" s="82" t="s">
        <v>494</v>
      </c>
      <c r="J113" s="111">
        <v>44501</v>
      </c>
      <c r="K113" s="111">
        <v>45380</v>
      </c>
    </row>
    <row r="114" spans="1:11" s="16" customFormat="1" ht="16" x14ac:dyDescent="0.2">
      <c r="A114" s="85" t="s">
        <v>96</v>
      </c>
      <c r="B114" s="82" t="s">
        <v>39</v>
      </c>
      <c r="C114" s="102" t="s">
        <v>382</v>
      </c>
      <c r="D114" s="116">
        <v>9219</v>
      </c>
      <c r="E114" s="114">
        <f>Table1[[#This Row],[Total US$ ]]*$E$2</f>
        <v>157183.95000000001</v>
      </c>
      <c r="F114" s="85" t="s">
        <v>601</v>
      </c>
      <c r="G114" s="107" t="s">
        <v>96</v>
      </c>
      <c r="H114" s="109" t="s">
        <v>329</v>
      </c>
      <c r="I114" s="117" t="s">
        <v>40</v>
      </c>
      <c r="J114" s="111">
        <v>44958</v>
      </c>
      <c r="K114" s="111">
        <v>45380</v>
      </c>
    </row>
    <row r="115" spans="1:11" s="2" customFormat="1" ht="48" x14ac:dyDescent="0.2">
      <c r="A115" s="85" t="s">
        <v>96</v>
      </c>
      <c r="B115" s="82" t="s">
        <v>375</v>
      </c>
      <c r="C115" s="102" t="s">
        <v>8</v>
      </c>
      <c r="D115" s="116">
        <v>210699</v>
      </c>
      <c r="E115" s="114">
        <f>Table1[[#This Row],[Total US$ ]]*$E$2</f>
        <v>3592417.95</v>
      </c>
      <c r="F115" s="85" t="s">
        <v>601</v>
      </c>
      <c r="G115" s="107" t="s">
        <v>96</v>
      </c>
      <c r="H115" s="109" t="s">
        <v>329</v>
      </c>
      <c r="I115" s="82" t="s">
        <v>495</v>
      </c>
      <c r="J115" s="111">
        <v>44837</v>
      </c>
      <c r="K115" s="111">
        <v>45016</v>
      </c>
    </row>
    <row r="116" spans="1:11" s="2" customFormat="1" ht="48" x14ac:dyDescent="0.2">
      <c r="A116" s="85" t="s">
        <v>128</v>
      </c>
      <c r="B116" s="82" t="s">
        <v>49</v>
      </c>
      <c r="C116" s="102" t="s">
        <v>8</v>
      </c>
      <c r="D116" s="116">
        <v>449743</v>
      </c>
      <c r="E116" s="114">
        <f>Table1[[#This Row],[Total US$ ]]*$E$2</f>
        <v>7668118.1500000004</v>
      </c>
      <c r="F116" s="85" t="s">
        <v>601</v>
      </c>
      <c r="G116" s="108" t="s">
        <v>103</v>
      </c>
      <c r="H116" s="109" t="s">
        <v>329</v>
      </c>
      <c r="I116" s="82" t="s">
        <v>496</v>
      </c>
      <c r="J116" s="111">
        <v>44621</v>
      </c>
      <c r="K116" s="111">
        <v>45412</v>
      </c>
    </row>
    <row r="117" spans="1:11" s="2" customFormat="1" ht="32" x14ac:dyDescent="0.2">
      <c r="A117" s="85" t="s">
        <v>128</v>
      </c>
      <c r="B117" s="81" t="s">
        <v>369</v>
      </c>
      <c r="C117" s="102" t="s">
        <v>8</v>
      </c>
      <c r="D117" s="116">
        <v>1617041</v>
      </c>
      <c r="E117" s="114">
        <f>Table1[[#This Row],[Total US$ ]]*$E$2</f>
        <v>27570549.050000001</v>
      </c>
      <c r="F117" s="85" t="s">
        <v>601</v>
      </c>
      <c r="G117" s="83"/>
      <c r="H117" s="109" t="s">
        <v>329</v>
      </c>
      <c r="I117" s="82" t="s">
        <v>497</v>
      </c>
      <c r="J117" s="111">
        <v>44621</v>
      </c>
      <c r="K117" s="111">
        <v>45412</v>
      </c>
    </row>
    <row r="118" spans="1:11" s="2" customFormat="1" ht="128" x14ac:dyDescent="0.2">
      <c r="A118" s="85" t="s">
        <v>96</v>
      </c>
      <c r="B118" s="81" t="s">
        <v>371</v>
      </c>
      <c r="C118" s="81" t="s">
        <v>8</v>
      </c>
      <c r="D118" s="116">
        <v>286850</v>
      </c>
      <c r="E118" s="114">
        <f>Table1[[#This Row],[Total US$ ]]*$E$2</f>
        <v>4890792.5</v>
      </c>
      <c r="F118" s="85" t="s">
        <v>601</v>
      </c>
      <c r="G118" s="83"/>
      <c r="H118" s="109" t="s">
        <v>329</v>
      </c>
      <c r="I118" s="82" t="s">
        <v>498</v>
      </c>
      <c r="J118" s="111">
        <v>44986</v>
      </c>
      <c r="K118" s="111">
        <v>45380</v>
      </c>
    </row>
    <row r="119" spans="1:11" s="2" customFormat="1" ht="208" x14ac:dyDescent="0.2">
      <c r="A119" s="85" t="s">
        <v>125</v>
      </c>
      <c r="B119" s="81" t="s">
        <v>122</v>
      </c>
      <c r="C119" s="81" t="s">
        <v>383</v>
      </c>
      <c r="D119" s="116">
        <v>550000</v>
      </c>
      <c r="E119" s="114">
        <f>Table1[[#This Row],[Total US$ ]]*$E$2</f>
        <v>9377500</v>
      </c>
      <c r="F119" s="85" t="s">
        <v>601</v>
      </c>
      <c r="G119" s="83" t="s">
        <v>569</v>
      </c>
      <c r="H119" s="109" t="s">
        <v>329</v>
      </c>
      <c r="I119" s="82" t="s">
        <v>499</v>
      </c>
      <c r="J119" s="111">
        <v>44562</v>
      </c>
      <c r="K119" s="111">
        <v>45657</v>
      </c>
    </row>
    <row r="120" spans="1:11" s="2" customFormat="1" ht="96" x14ac:dyDescent="0.2">
      <c r="A120" s="82" t="s">
        <v>128</v>
      </c>
      <c r="B120" s="82" t="s">
        <v>51</v>
      </c>
      <c r="C120" s="82" t="s">
        <v>111</v>
      </c>
      <c r="D120" s="116">
        <v>2310000</v>
      </c>
      <c r="E120" s="114">
        <f>Table1[[#This Row],[Total US$ ]]*$E$2</f>
        <v>39385500</v>
      </c>
      <c r="F120" s="85" t="s">
        <v>174</v>
      </c>
      <c r="G120" s="96" t="s">
        <v>570</v>
      </c>
      <c r="H120" s="109" t="s">
        <v>150</v>
      </c>
      <c r="I120" s="82" t="s">
        <v>500</v>
      </c>
      <c r="J120" s="111">
        <v>44501</v>
      </c>
      <c r="K120" s="111">
        <v>44561</v>
      </c>
    </row>
    <row r="121" spans="1:11" s="2" customFormat="1" ht="16" x14ac:dyDescent="0.2">
      <c r="A121" s="82" t="s">
        <v>129</v>
      </c>
      <c r="B121" s="82"/>
      <c r="C121" s="82" t="s">
        <v>5</v>
      </c>
      <c r="D121" s="116">
        <v>47690000</v>
      </c>
      <c r="E121" s="114">
        <f>Table1[[#This Row],[Total US$ ]]*$E$2</f>
        <v>813114500</v>
      </c>
      <c r="F121" s="85" t="s">
        <v>174</v>
      </c>
      <c r="G121" s="96"/>
      <c r="H121" s="109" t="s">
        <v>149</v>
      </c>
      <c r="I121" s="82"/>
      <c r="J121" s="112">
        <v>44927</v>
      </c>
      <c r="K121" s="111">
        <v>46752</v>
      </c>
    </row>
    <row r="122" spans="1:11" s="2" customFormat="1" ht="144" x14ac:dyDescent="0.2">
      <c r="A122" s="82" t="s">
        <v>125</v>
      </c>
      <c r="B122" s="82" t="s">
        <v>7</v>
      </c>
      <c r="C122" s="82" t="s">
        <v>159</v>
      </c>
      <c r="D122" s="116">
        <v>2492875</v>
      </c>
      <c r="E122" s="114">
        <f>Table1[[#This Row],[Total US$ ]]*$E$2</f>
        <v>42503518.75</v>
      </c>
      <c r="F122" s="85" t="s">
        <v>142</v>
      </c>
      <c r="G122" s="82" t="s">
        <v>571</v>
      </c>
      <c r="H122" s="109" t="s">
        <v>329</v>
      </c>
      <c r="I122" s="82" t="s">
        <v>501</v>
      </c>
      <c r="J122" s="111">
        <v>44501</v>
      </c>
      <c r="K122" s="111">
        <v>46022</v>
      </c>
    </row>
    <row r="123" spans="1:11" s="2" customFormat="1" ht="144" x14ac:dyDescent="0.2">
      <c r="A123" s="82" t="s">
        <v>125</v>
      </c>
      <c r="B123" s="82" t="s">
        <v>9</v>
      </c>
      <c r="C123" s="82" t="s">
        <v>159</v>
      </c>
      <c r="D123" s="116">
        <v>3046862.5000000005</v>
      </c>
      <c r="E123" s="114">
        <f>Table1[[#This Row],[Total US$ ]]*$E$2</f>
        <v>51949005.625000007</v>
      </c>
      <c r="F123" s="85" t="s">
        <v>142</v>
      </c>
      <c r="G123" s="82" t="s">
        <v>571</v>
      </c>
      <c r="H123" s="109" t="s">
        <v>329</v>
      </c>
      <c r="I123" s="82" t="s">
        <v>502</v>
      </c>
      <c r="J123" s="111">
        <v>44501</v>
      </c>
      <c r="K123" s="111">
        <v>46022</v>
      </c>
    </row>
    <row r="124" spans="1:11" s="2" customFormat="1" ht="64" x14ac:dyDescent="0.2">
      <c r="A124" s="82" t="s">
        <v>129</v>
      </c>
      <c r="B124" s="82" t="s">
        <v>16</v>
      </c>
      <c r="C124" s="82" t="s">
        <v>162</v>
      </c>
      <c r="D124" s="116">
        <v>149462.5</v>
      </c>
      <c r="E124" s="114">
        <f>Table1[[#This Row],[Total US$ ]]*$E$2</f>
        <v>2548335.625</v>
      </c>
      <c r="F124" s="85" t="s">
        <v>142</v>
      </c>
      <c r="G124" s="96" t="s">
        <v>572</v>
      </c>
      <c r="H124" s="109" t="s">
        <v>329</v>
      </c>
      <c r="I124" s="82" t="s">
        <v>503</v>
      </c>
      <c r="J124" s="111">
        <v>44562</v>
      </c>
      <c r="K124" s="111">
        <v>45657</v>
      </c>
    </row>
    <row r="125" spans="1:11" s="2" customFormat="1" ht="80" x14ac:dyDescent="0.2">
      <c r="A125" s="82" t="s">
        <v>129</v>
      </c>
      <c r="B125" s="82" t="s">
        <v>16</v>
      </c>
      <c r="C125" s="82" t="s">
        <v>162</v>
      </c>
      <c r="D125" s="116">
        <v>366162.50000000006</v>
      </c>
      <c r="E125" s="114">
        <f>Table1[[#This Row],[Total US$ ]]*$E$2</f>
        <v>6243070.6250000009</v>
      </c>
      <c r="F125" s="85" t="s">
        <v>142</v>
      </c>
      <c r="G125" s="96" t="s">
        <v>573</v>
      </c>
      <c r="H125" s="109" t="s">
        <v>329</v>
      </c>
      <c r="I125" s="82" t="s">
        <v>504</v>
      </c>
      <c r="J125" s="111">
        <v>44562</v>
      </c>
      <c r="K125" s="111">
        <v>45657</v>
      </c>
    </row>
    <row r="126" spans="1:11" s="2" customFormat="1" ht="112" x14ac:dyDescent="0.2">
      <c r="A126" s="82" t="s">
        <v>129</v>
      </c>
      <c r="B126" s="82" t="s">
        <v>16</v>
      </c>
      <c r="C126" s="82" t="s">
        <v>163</v>
      </c>
      <c r="D126" s="116">
        <v>2062500.0000000002</v>
      </c>
      <c r="E126" s="114">
        <f>Table1[[#This Row],[Total US$ ]]*$E$2</f>
        <v>35165625.000000007</v>
      </c>
      <c r="F126" s="85" t="s">
        <v>142</v>
      </c>
      <c r="G126" s="96" t="s">
        <v>574</v>
      </c>
      <c r="H126" s="109" t="s">
        <v>329</v>
      </c>
      <c r="I126" s="82" t="s">
        <v>505</v>
      </c>
      <c r="J126" s="111">
        <v>44927</v>
      </c>
      <c r="K126" s="111">
        <v>46022</v>
      </c>
    </row>
    <row r="127" spans="1:11" s="2" customFormat="1" ht="80" x14ac:dyDescent="0.2">
      <c r="A127" s="82" t="s">
        <v>156</v>
      </c>
      <c r="B127" s="82" t="s">
        <v>26</v>
      </c>
      <c r="C127" s="82" t="s">
        <v>59</v>
      </c>
      <c r="D127" s="116">
        <v>2895337.5000000005</v>
      </c>
      <c r="E127" s="114">
        <f>Table1[[#This Row],[Total US$ ]]*$E$2</f>
        <v>49365504.375000007</v>
      </c>
      <c r="F127" s="85" t="s">
        <v>142</v>
      </c>
      <c r="G127" s="96" t="s">
        <v>98</v>
      </c>
      <c r="H127" s="109" t="s">
        <v>329</v>
      </c>
      <c r="I127" s="82" t="s">
        <v>506</v>
      </c>
      <c r="J127" s="111">
        <v>44562</v>
      </c>
      <c r="K127" s="111">
        <v>46387</v>
      </c>
    </row>
    <row r="128" spans="1:11" s="35" customFormat="1" ht="80" x14ac:dyDescent="0.2">
      <c r="A128" s="82" t="s">
        <v>128</v>
      </c>
      <c r="B128" s="82" t="s">
        <v>51</v>
      </c>
      <c r="C128" s="82" t="s">
        <v>53</v>
      </c>
      <c r="D128" s="116">
        <v>1925000.0000000002</v>
      </c>
      <c r="E128" s="114">
        <f>Table1[[#This Row],[Total US$ ]]*$E$2</f>
        <v>32821250.000000004</v>
      </c>
      <c r="F128" s="85" t="s">
        <v>142</v>
      </c>
      <c r="G128" s="96" t="s">
        <v>575</v>
      </c>
      <c r="H128" s="109" t="s">
        <v>329</v>
      </c>
      <c r="I128" s="82" t="s">
        <v>507</v>
      </c>
      <c r="J128" s="111"/>
      <c r="K128" s="111"/>
    </row>
    <row r="129" spans="1:11" s="2" customFormat="1" ht="96" x14ac:dyDescent="0.2">
      <c r="A129" s="82" t="s">
        <v>128</v>
      </c>
      <c r="B129" s="82" t="s">
        <v>51</v>
      </c>
      <c r="C129" s="82" t="s">
        <v>54</v>
      </c>
      <c r="D129" s="116">
        <v>1925000.0000000002</v>
      </c>
      <c r="E129" s="114">
        <f>Table1[[#This Row],[Total US$ ]]*$E$2</f>
        <v>32821250.000000004</v>
      </c>
      <c r="F129" s="85" t="s">
        <v>142</v>
      </c>
      <c r="G129" s="96" t="s">
        <v>576</v>
      </c>
      <c r="H129" s="109" t="s">
        <v>329</v>
      </c>
      <c r="I129" s="82" t="s">
        <v>508</v>
      </c>
      <c r="J129" s="111">
        <v>44562</v>
      </c>
      <c r="K129" s="111">
        <v>46752</v>
      </c>
    </row>
    <row r="130" spans="1:11" s="2" customFormat="1" ht="64" x14ac:dyDescent="0.2">
      <c r="A130" s="82" t="s">
        <v>128</v>
      </c>
      <c r="B130" s="82" t="s">
        <v>51</v>
      </c>
      <c r="C130" s="82" t="s">
        <v>53</v>
      </c>
      <c r="D130" s="116">
        <v>5775000.0000000009</v>
      </c>
      <c r="E130" s="114">
        <f>Table1[[#This Row],[Total US$ ]]*$E$2</f>
        <v>98463750.000000015</v>
      </c>
      <c r="F130" s="85" t="s">
        <v>142</v>
      </c>
      <c r="G130" s="96" t="s">
        <v>577</v>
      </c>
      <c r="H130" s="109" t="s">
        <v>329</v>
      </c>
      <c r="I130" s="82" t="s">
        <v>509</v>
      </c>
      <c r="J130" s="111">
        <v>44562</v>
      </c>
      <c r="K130" s="111">
        <v>46752</v>
      </c>
    </row>
    <row r="131" spans="1:11" s="35" customFormat="1" ht="144" x14ac:dyDescent="0.2">
      <c r="A131" s="82" t="s">
        <v>128</v>
      </c>
      <c r="B131" s="82" t="s">
        <v>79</v>
      </c>
      <c r="C131" s="82" t="s">
        <v>68</v>
      </c>
      <c r="D131" s="116">
        <v>412500.00000000006</v>
      </c>
      <c r="E131" s="114">
        <f>Table1[[#This Row],[Total US$ ]]*$E$2</f>
        <v>7033125.0000000009</v>
      </c>
      <c r="F131" s="85" t="s">
        <v>142</v>
      </c>
      <c r="G131" s="96" t="s">
        <v>109</v>
      </c>
      <c r="H131" s="109" t="s">
        <v>329</v>
      </c>
      <c r="I131" s="82" t="s">
        <v>510</v>
      </c>
      <c r="J131" s="111">
        <v>44562</v>
      </c>
      <c r="K131" s="111">
        <v>46752</v>
      </c>
    </row>
    <row r="132" spans="1:11" s="2" customFormat="1" ht="64" x14ac:dyDescent="0.2">
      <c r="A132" s="82" t="s">
        <v>129</v>
      </c>
      <c r="B132" s="82" t="s">
        <v>17</v>
      </c>
      <c r="C132" s="82" t="s">
        <v>164</v>
      </c>
      <c r="D132" s="116">
        <v>2160000</v>
      </c>
      <c r="E132" s="114">
        <f>Table1[[#This Row],[Total US$ ]]*$E$2</f>
        <v>36828000</v>
      </c>
      <c r="F132" s="85" t="s">
        <v>143</v>
      </c>
      <c r="G132" s="96" t="s">
        <v>587</v>
      </c>
      <c r="H132" s="109" t="s">
        <v>329</v>
      </c>
      <c r="I132" s="82" t="s">
        <v>511</v>
      </c>
      <c r="J132" s="111">
        <v>44562</v>
      </c>
      <c r="K132" s="111">
        <v>46022</v>
      </c>
    </row>
    <row r="133" spans="1:11" s="2" customFormat="1" ht="48" x14ac:dyDescent="0.2">
      <c r="A133" s="82" t="s">
        <v>129</v>
      </c>
      <c r="B133" s="82" t="s">
        <v>19</v>
      </c>
      <c r="C133" s="82" t="s">
        <v>20</v>
      </c>
      <c r="D133" s="116">
        <v>186580.56489795921</v>
      </c>
      <c r="E133" s="114">
        <f>Table1[[#This Row],[Total US$ ]]*$E$2</f>
        <v>3181198.6315102046</v>
      </c>
      <c r="F133" s="85" t="s">
        <v>143</v>
      </c>
      <c r="G133" s="96" t="s">
        <v>588</v>
      </c>
      <c r="H133" s="109" t="s">
        <v>329</v>
      </c>
      <c r="I133" s="82" t="s">
        <v>512</v>
      </c>
      <c r="J133" s="111">
        <v>44880</v>
      </c>
      <c r="K133" s="111">
        <v>45961</v>
      </c>
    </row>
    <row r="134" spans="1:11" s="35" customFormat="1" ht="96" x14ac:dyDescent="0.2">
      <c r="A134" s="85" t="s">
        <v>96</v>
      </c>
      <c r="B134" s="82" t="s">
        <v>339</v>
      </c>
      <c r="C134" s="82" t="s">
        <v>69</v>
      </c>
      <c r="D134" s="116">
        <v>1867752.0000000002</v>
      </c>
      <c r="E134" s="114">
        <f>Table1[[#This Row],[Total US$ ]]*$E$2</f>
        <v>31845171.600000005</v>
      </c>
      <c r="F134" s="85" t="s">
        <v>143</v>
      </c>
      <c r="G134" s="96" t="s">
        <v>110</v>
      </c>
      <c r="H134" s="109" t="s">
        <v>329</v>
      </c>
      <c r="I134" s="82" t="s">
        <v>513</v>
      </c>
      <c r="J134" s="111">
        <v>44927</v>
      </c>
      <c r="K134" s="111">
        <v>47848</v>
      </c>
    </row>
    <row r="135" spans="1:11" s="39" customFormat="1" ht="64" x14ac:dyDescent="0.2">
      <c r="A135" s="85" t="s">
        <v>126</v>
      </c>
      <c r="B135" s="82" t="s">
        <v>340</v>
      </c>
      <c r="C135" s="82" t="s">
        <v>175</v>
      </c>
      <c r="D135" s="116">
        <v>54000000</v>
      </c>
      <c r="E135" s="114">
        <f>Table1[[#This Row],[Total US$ ]]*$E$2</f>
        <v>920700000</v>
      </c>
      <c r="F135" s="85" t="s">
        <v>143</v>
      </c>
      <c r="G135" s="96" t="s">
        <v>11</v>
      </c>
      <c r="H135" s="109" t="s">
        <v>338</v>
      </c>
      <c r="I135" s="82" t="s">
        <v>514</v>
      </c>
      <c r="J135" s="111"/>
      <c r="K135" s="111"/>
    </row>
    <row r="136" spans="1:11" s="39" customFormat="1" ht="64" x14ac:dyDescent="0.2">
      <c r="A136" s="85" t="s">
        <v>126</v>
      </c>
      <c r="B136" s="82" t="s">
        <v>341</v>
      </c>
      <c r="C136" s="82" t="s">
        <v>164</v>
      </c>
      <c r="D136" s="116">
        <v>2160000</v>
      </c>
      <c r="E136" s="114">
        <f>Table1[[#This Row],[Total US$ ]]*$E$2</f>
        <v>36828000</v>
      </c>
      <c r="F136" s="85" t="s">
        <v>143</v>
      </c>
      <c r="G136" s="96" t="s">
        <v>164</v>
      </c>
      <c r="H136" s="109" t="s">
        <v>329</v>
      </c>
      <c r="I136" s="82" t="s">
        <v>515</v>
      </c>
      <c r="J136" s="111">
        <v>44562</v>
      </c>
      <c r="K136" s="111">
        <v>46022</v>
      </c>
    </row>
    <row r="137" spans="1:11" s="44" customFormat="1" ht="224" x14ac:dyDescent="0.2">
      <c r="A137" s="85" t="s">
        <v>128</v>
      </c>
      <c r="B137" s="82" t="s">
        <v>51</v>
      </c>
      <c r="C137" s="82" t="s">
        <v>170</v>
      </c>
      <c r="D137" s="116">
        <v>608300</v>
      </c>
      <c r="E137" s="114">
        <f>Table1[[#This Row],[Total US$ ]]*$E$2</f>
        <v>10371515</v>
      </c>
      <c r="F137" s="85" t="s">
        <v>144</v>
      </c>
      <c r="G137" s="96" t="s">
        <v>578</v>
      </c>
      <c r="H137" s="109" t="s">
        <v>329</v>
      </c>
      <c r="I137" s="82" t="s">
        <v>516</v>
      </c>
      <c r="J137" s="111">
        <v>44501</v>
      </c>
      <c r="K137" s="111">
        <v>45626</v>
      </c>
    </row>
    <row r="138" spans="1:11" s="44" customFormat="1" ht="288" x14ac:dyDescent="0.2">
      <c r="A138" s="85" t="s">
        <v>128</v>
      </c>
      <c r="B138" s="82" t="s">
        <v>51</v>
      </c>
      <c r="C138" s="82" t="s">
        <v>171</v>
      </c>
      <c r="D138" s="116">
        <v>192500</v>
      </c>
      <c r="E138" s="114">
        <f>Table1[[#This Row],[Total US$ ]]*$E$2</f>
        <v>3282125</v>
      </c>
      <c r="F138" s="85" t="s">
        <v>144</v>
      </c>
      <c r="G138" s="96" t="s">
        <v>172</v>
      </c>
      <c r="H138" s="109" t="s">
        <v>329</v>
      </c>
      <c r="I138" s="82" t="s">
        <v>517</v>
      </c>
      <c r="J138" s="111">
        <v>44501</v>
      </c>
      <c r="K138" s="111">
        <v>45626</v>
      </c>
    </row>
    <row r="139" spans="1:11" s="39" customFormat="1" ht="365" x14ac:dyDescent="0.2">
      <c r="A139" s="85" t="s">
        <v>128</v>
      </c>
      <c r="B139" s="85" t="s">
        <v>51</v>
      </c>
      <c r="C139" s="82" t="s">
        <v>171</v>
      </c>
      <c r="D139" s="116">
        <v>308000</v>
      </c>
      <c r="E139" s="114">
        <f>Table1[[#This Row],[Total US$ ]]*$E$2</f>
        <v>5251400</v>
      </c>
      <c r="F139" s="85" t="s">
        <v>144</v>
      </c>
      <c r="G139" s="96" t="s">
        <v>173</v>
      </c>
      <c r="H139" s="109" t="s">
        <v>329</v>
      </c>
      <c r="I139" s="82" t="s">
        <v>518</v>
      </c>
      <c r="J139" s="111">
        <v>44927</v>
      </c>
      <c r="K139" s="111">
        <v>46203</v>
      </c>
    </row>
    <row r="140" spans="1:11" s="35" customFormat="1" ht="365" x14ac:dyDescent="0.2">
      <c r="A140" s="85" t="s">
        <v>128</v>
      </c>
      <c r="B140" s="85" t="s">
        <v>51</v>
      </c>
      <c r="C140" s="82" t="s">
        <v>170</v>
      </c>
      <c r="D140" s="116">
        <v>161700</v>
      </c>
      <c r="E140" s="114">
        <f>Table1[[#This Row],[Total US$ ]]*$E$2</f>
        <v>2756985</v>
      </c>
      <c r="F140" s="85" t="s">
        <v>144</v>
      </c>
      <c r="G140" s="96" t="s">
        <v>393</v>
      </c>
      <c r="H140" s="109" t="s">
        <v>329</v>
      </c>
      <c r="I140" s="82" t="s">
        <v>519</v>
      </c>
      <c r="J140" s="111">
        <v>44986</v>
      </c>
      <c r="K140" s="111">
        <v>46203</v>
      </c>
    </row>
    <row r="141" spans="1:11" s="39" customFormat="1" ht="64" x14ac:dyDescent="0.2">
      <c r="A141" s="85" t="s">
        <v>96</v>
      </c>
      <c r="B141" s="85" t="s">
        <v>41</v>
      </c>
      <c r="C141" s="82" t="s">
        <v>71</v>
      </c>
      <c r="D141" s="116">
        <v>1090000</v>
      </c>
      <c r="E141" s="114">
        <f>Table1[[#This Row],[Total US$ ]]*$E$2</f>
        <v>18584500</v>
      </c>
      <c r="F141" s="85" t="s">
        <v>190</v>
      </c>
      <c r="G141" s="96" t="s">
        <v>579</v>
      </c>
      <c r="H141" s="109" t="s">
        <v>329</v>
      </c>
      <c r="I141" s="82" t="s">
        <v>520</v>
      </c>
      <c r="J141" s="112">
        <v>44501</v>
      </c>
      <c r="K141" s="112">
        <v>45657</v>
      </c>
    </row>
    <row r="142" spans="1:11" s="39" customFormat="1" ht="64" x14ac:dyDescent="0.2">
      <c r="A142" s="85" t="s">
        <v>96</v>
      </c>
      <c r="B142" s="82" t="s">
        <v>333</v>
      </c>
      <c r="C142" s="82" t="s">
        <v>72</v>
      </c>
      <c r="D142" s="116">
        <v>2435834.2051999997</v>
      </c>
      <c r="E142" s="114">
        <f>Table1[[#This Row],[Total US$ ]]*$E$2</f>
        <v>41530973.198659994</v>
      </c>
      <c r="F142" s="85" t="s">
        <v>190</v>
      </c>
      <c r="G142" s="96" t="s">
        <v>580</v>
      </c>
      <c r="H142" s="109" t="s">
        <v>329</v>
      </c>
      <c r="I142" s="82" t="s">
        <v>521</v>
      </c>
      <c r="J142" s="112">
        <v>44501</v>
      </c>
      <c r="K142" s="112">
        <v>45657</v>
      </c>
    </row>
    <row r="143" spans="1:11" s="35" customFormat="1" ht="96" x14ac:dyDescent="0.2">
      <c r="A143" s="85" t="s">
        <v>96</v>
      </c>
      <c r="B143" s="82" t="s">
        <v>41</v>
      </c>
      <c r="C143" s="82" t="s">
        <v>167</v>
      </c>
      <c r="D143" s="116">
        <v>7640900.0000000009</v>
      </c>
      <c r="E143" s="114">
        <f>Table1[[#This Row],[Total US$ ]]*$E$2</f>
        <v>130277345.00000001</v>
      </c>
      <c r="F143" s="85" t="s">
        <v>190</v>
      </c>
      <c r="G143" s="96" t="s">
        <v>581</v>
      </c>
      <c r="H143" s="109" t="s">
        <v>329</v>
      </c>
      <c r="I143" s="82" t="s">
        <v>522</v>
      </c>
      <c r="J143" s="112">
        <v>44501</v>
      </c>
      <c r="K143" s="112">
        <v>45657</v>
      </c>
    </row>
    <row r="144" spans="1:11" s="39" customFormat="1" ht="80" x14ac:dyDescent="0.2">
      <c r="A144" s="85" t="s">
        <v>128</v>
      </c>
      <c r="B144" s="82" t="s">
        <v>334</v>
      </c>
      <c r="C144" s="82" t="s">
        <v>6</v>
      </c>
      <c r="D144" s="116">
        <v>5395500</v>
      </c>
      <c r="E144" s="114">
        <f>Table1[[#This Row],[Total US$ ]]*$E$2</f>
        <v>91993275</v>
      </c>
      <c r="F144" s="85" t="s">
        <v>190</v>
      </c>
      <c r="G144" s="96" t="s">
        <v>104</v>
      </c>
      <c r="H144" s="109" t="s">
        <v>329</v>
      </c>
      <c r="I144" s="82" t="s">
        <v>523</v>
      </c>
      <c r="J144" s="112">
        <v>44713</v>
      </c>
      <c r="K144" s="112">
        <v>45808</v>
      </c>
    </row>
    <row r="145" spans="1:11" s="39" customFormat="1" ht="64" x14ac:dyDescent="0.2">
      <c r="A145" s="85" t="s">
        <v>125</v>
      </c>
      <c r="B145" s="82" t="s">
        <v>335</v>
      </c>
      <c r="C145" s="82" t="s">
        <v>6</v>
      </c>
      <c r="D145" s="116">
        <v>1090000</v>
      </c>
      <c r="E145" s="114">
        <f>Table1[[#This Row],[Total US$ ]]*$E$2</f>
        <v>18584500</v>
      </c>
      <c r="F145" s="85" t="s">
        <v>190</v>
      </c>
      <c r="G145" s="96" t="s">
        <v>582</v>
      </c>
      <c r="H145" s="109" t="s">
        <v>329</v>
      </c>
      <c r="I145" s="117" t="s">
        <v>614</v>
      </c>
      <c r="J145" s="111">
        <v>44562</v>
      </c>
      <c r="K145" s="111">
        <v>45930</v>
      </c>
    </row>
    <row r="146" spans="1:11" s="35" customFormat="1" ht="96" x14ac:dyDescent="0.2">
      <c r="A146" s="85" t="s">
        <v>96</v>
      </c>
      <c r="B146" s="82" t="s">
        <v>83</v>
      </c>
      <c r="C146" s="82" t="s">
        <v>3</v>
      </c>
      <c r="D146" s="116">
        <v>8834450</v>
      </c>
      <c r="E146" s="114">
        <f>Table1[[#This Row],[Total US$ ]]*$E$2</f>
        <v>150627372.5</v>
      </c>
      <c r="F146" s="85" t="s">
        <v>190</v>
      </c>
      <c r="G146" s="96" t="s">
        <v>583</v>
      </c>
      <c r="H146" s="109" t="s">
        <v>329</v>
      </c>
      <c r="I146" s="82" t="s">
        <v>615</v>
      </c>
      <c r="J146" s="112">
        <v>44501</v>
      </c>
      <c r="K146" s="112">
        <v>45656</v>
      </c>
    </row>
    <row r="147" spans="1:11" s="35" customFormat="1" ht="64" x14ac:dyDescent="0.2">
      <c r="A147" s="85" t="s">
        <v>125</v>
      </c>
      <c r="B147" s="82" t="s">
        <v>84</v>
      </c>
      <c r="C147" s="82" t="s">
        <v>86</v>
      </c>
      <c r="D147" s="116">
        <v>1090000</v>
      </c>
      <c r="E147" s="114">
        <f>Table1[[#This Row],[Total US$ ]]*$E$2</f>
        <v>18584500</v>
      </c>
      <c r="F147" s="85" t="s">
        <v>190</v>
      </c>
      <c r="G147" s="96" t="s">
        <v>584</v>
      </c>
      <c r="H147" s="109" t="s">
        <v>329</v>
      </c>
      <c r="I147" s="82" t="s">
        <v>524</v>
      </c>
      <c r="J147" s="112">
        <v>44501</v>
      </c>
      <c r="K147" s="111">
        <v>45290</v>
      </c>
    </row>
    <row r="148" spans="1:11" s="39" customFormat="1" ht="112" x14ac:dyDescent="0.2">
      <c r="A148" s="85" t="s">
        <v>125</v>
      </c>
      <c r="B148" s="82" t="s">
        <v>85</v>
      </c>
      <c r="C148" s="82" t="s">
        <v>66</v>
      </c>
      <c r="D148" s="116">
        <v>3597000.0000000005</v>
      </c>
      <c r="E148" s="114">
        <f>Table1[[#This Row],[Total US$ ]]*$E$2</f>
        <v>61328850.000000007</v>
      </c>
      <c r="F148" s="85" t="s">
        <v>190</v>
      </c>
      <c r="G148" s="96" t="s">
        <v>585</v>
      </c>
      <c r="H148" s="109" t="s">
        <v>329</v>
      </c>
      <c r="I148" s="82" t="s">
        <v>525</v>
      </c>
      <c r="J148" s="112">
        <v>44501</v>
      </c>
      <c r="K148" s="111">
        <v>46386</v>
      </c>
    </row>
    <row r="149" spans="1:11" s="35" customFormat="1" ht="80" x14ac:dyDescent="0.2">
      <c r="A149" s="85" t="s">
        <v>96</v>
      </c>
      <c r="B149" s="82" t="s">
        <v>336</v>
      </c>
      <c r="C149" s="82" t="s">
        <v>66</v>
      </c>
      <c r="D149" s="116">
        <v>3270000.0000000005</v>
      </c>
      <c r="E149" s="114">
        <f>Table1[[#This Row],[Total US$ ]]*$E$2</f>
        <v>55753500.000000007</v>
      </c>
      <c r="F149" s="85" t="s">
        <v>190</v>
      </c>
      <c r="G149" s="96" t="s">
        <v>586</v>
      </c>
      <c r="H149" s="109" t="s">
        <v>329</v>
      </c>
      <c r="I149" s="82" t="s">
        <v>616</v>
      </c>
      <c r="J149" s="112">
        <v>44501</v>
      </c>
      <c r="K149" s="111">
        <v>45291</v>
      </c>
    </row>
    <row r="150" spans="1:11" x14ac:dyDescent="0.2">
      <c r="D150" s="116">
        <f>SUBTOTAL(109,Table1[Total US$ ])</f>
        <v>590749779.99148607</v>
      </c>
      <c r="E150" s="115">
        <f>SUBTOTAL(109,Table1[Total ZAR])</f>
        <v>10072283748.854839</v>
      </c>
      <c r="F150"/>
      <c r="H150" s="9"/>
      <c r="J150" s="4"/>
      <c r="K150" s="4"/>
    </row>
    <row r="152" spans="1:11" ht="33" customHeight="1" x14ac:dyDescent="0.2">
      <c r="A152" s="125" t="s">
        <v>589</v>
      </c>
      <c r="B152" s="125"/>
      <c r="C152" s="125"/>
      <c r="D152" s="125"/>
      <c r="E152" s="125"/>
      <c r="F152" s="125"/>
      <c r="G152" s="125"/>
      <c r="H152" s="125"/>
      <c r="I152" s="125"/>
      <c r="J152" s="125"/>
      <c r="K152" s="125"/>
    </row>
    <row r="154" spans="1:11" x14ac:dyDescent="0.2">
      <c r="A154" s="125" t="s">
        <v>590</v>
      </c>
      <c r="B154" s="125"/>
      <c r="C154" s="125"/>
      <c r="D154" s="125"/>
      <c r="E154" s="125"/>
      <c r="F154" s="125"/>
      <c r="G154" s="125"/>
      <c r="H154" s="125"/>
      <c r="I154" s="125"/>
      <c r="J154" s="125"/>
      <c r="K154" s="125"/>
    </row>
  </sheetData>
  <mergeCells count="3">
    <mergeCell ref="A1:B3"/>
    <mergeCell ref="A152:K152"/>
    <mergeCell ref="A154:K154"/>
  </mergeCells>
  <phoneticPr fontId="1"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2889B35-A148-3647-9D67-CAFD8C48496F}">
          <x14:formula1>
            <xm:f>Dropdowns!$K$2:$K$6</xm:f>
          </x14:formula1>
          <xm:sqref>H149 H5:H35 H120:H147 H37:H84</xm:sqref>
        </x14:dataValidation>
        <x14:dataValidation type="list" allowBlank="1" showInputMessage="1" showErrorMessage="1" xr:uid="{0F9C70DB-5486-9847-9CC6-3730CE031DE0}">
          <x14:formula1>
            <xm:f>Dropdowns!$C$2:$C$8</xm:f>
          </x14:formula1>
          <xm:sqref>A120:A149 A5:A84</xm:sqref>
        </x14:dataValidation>
        <x14:dataValidation type="list" allowBlank="1" showInputMessage="1" showErrorMessage="1" xr:uid="{ADA4C7AC-03FE-C248-AB8E-5393F2D9D48D}">
          <x14:formula1>
            <xm:f>Dropdowns!$I$2:$I$15</xm:f>
          </x14:formula1>
          <xm:sqref>F5:F149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BE61-E850-1848-8FE5-5B2D630B79A1}">
  <dimension ref="A1:M138"/>
  <sheetViews>
    <sheetView showGridLines="0" topLeftCell="A6" zoomScale="120" zoomScaleNormal="120" workbookViewId="0">
      <selection activeCell="A10" sqref="A10:M12"/>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6640625" bestFit="1" customWidth="1"/>
    <col min="6" max="6" width="14.5" bestFit="1" customWidth="1"/>
    <col min="7" max="7" width="14.1640625" bestFit="1" customWidth="1"/>
    <col min="9" max="9" width="30.6640625" customWidth="1"/>
    <col min="10" max="10" width="16" customWidth="1"/>
    <col min="11" max="11" width="51.83203125" customWidth="1"/>
    <col min="12" max="12" width="23.6640625" bestFit="1" customWidth="1"/>
    <col min="13" max="13" width="26.1640625" bestFit="1" customWidth="1"/>
  </cols>
  <sheetData>
    <row r="1" spans="1:13" x14ac:dyDescent="0.2">
      <c r="E1" s="68" t="s">
        <v>314</v>
      </c>
      <c r="G1" s="126">
        <v>17.05</v>
      </c>
    </row>
    <row r="2" spans="1:13" ht="16" thickBot="1" x14ac:dyDescent="0.25">
      <c r="E2" s="71">
        <v>0.77</v>
      </c>
      <c r="G2" s="127"/>
    </row>
    <row r="3" spans="1:13" ht="16" x14ac:dyDescent="0.2">
      <c r="A3" t="s">
        <v>183</v>
      </c>
      <c r="B3" s="51" t="s">
        <v>152</v>
      </c>
      <c r="C3" s="53" t="s">
        <v>117</v>
      </c>
      <c r="D3" t="s">
        <v>526</v>
      </c>
      <c r="E3" s="52" t="s">
        <v>256</v>
      </c>
      <c r="F3" s="52" t="s">
        <v>313</v>
      </c>
      <c r="G3" s="52" t="s">
        <v>70</v>
      </c>
      <c r="H3" s="52" t="s">
        <v>154</v>
      </c>
      <c r="I3" t="s">
        <v>527</v>
      </c>
      <c r="J3" s="54" t="s">
        <v>116</v>
      </c>
      <c r="K3" s="1" t="s">
        <v>428</v>
      </c>
      <c r="L3" s="55" t="s">
        <v>113</v>
      </c>
      <c r="M3" s="55" t="s">
        <v>112</v>
      </c>
    </row>
    <row r="4" spans="1:13" ht="192" x14ac:dyDescent="0.2">
      <c r="A4" s="85" t="s">
        <v>267</v>
      </c>
      <c r="B4" s="85" t="s">
        <v>128</v>
      </c>
      <c r="C4" s="82" t="s">
        <v>51</v>
      </c>
      <c r="D4" s="82" t="s">
        <v>170</v>
      </c>
      <c r="E4" s="88">
        <f>Table81012131415[[#This Row],[CAD - Amount]]*$E$2</f>
        <v>608300</v>
      </c>
      <c r="F4" s="88">
        <v>790000</v>
      </c>
      <c r="G4" s="87">
        <f>Table81012131415[[#This Row],[Total US$ ]]*$G$1</f>
        <v>10371515</v>
      </c>
      <c r="H4" s="85" t="s">
        <v>144</v>
      </c>
      <c r="I4" s="96" t="s">
        <v>578</v>
      </c>
      <c r="J4" s="109" t="s">
        <v>329</v>
      </c>
      <c r="K4" s="82" t="s">
        <v>516</v>
      </c>
      <c r="L4" s="111">
        <v>44501</v>
      </c>
      <c r="M4" s="111">
        <v>45626</v>
      </c>
    </row>
    <row r="5" spans="1:13" ht="256" x14ac:dyDescent="0.2">
      <c r="A5" s="85" t="s">
        <v>268</v>
      </c>
      <c r="B5" s="85" t="s">
        <v>128</v>
      </c>
      <c r="C5" s="82" t="s">
        <v>51</v>
      </c>
      <c r="D5" s="82" t="s">
        <v>171</v>
      </c>
      <c r="E5" s="88">
        <f>Table81012131415[[#This Row],[CAD - Amount]]*$E$2</f>
        <v>192500</v>
      </c>
      <c r="F5" s="88">
        <v>250000</v>
      </c>
      <c r="G5" s="87">
        <f>Table81012131415[[#This Row],[Total US$ ]]*$G$1</f>
        <v>3282125</v>
      </c>
      <c r="H5" s="85" t="s">
        <v>144</v>
      </c>
      <c r="I5" s="96" t="s">
        <v>172</v>
      </c>
      <c r="J5" s="109" t="s">
        <v>329</v>
      </c>
      <c r="K5" s="82" t="s">
        <v>517</v>
      </c>
      <c r="L5" s="111">
        <v>44501</v>
      </c>
      <c r="M5" s="111">
        <v>45626</v>
      </c>
    </row>
    <row r="6" spans="1:13" ht="335" x14ac:dyDescent="0.2">
      <c r="A6" s="85" t="s">
        <v>269</v>
      </c>
      <c r="B6" s="85" t="s">
        <v>128</v>
      </c>
      <c r="C6" s="82" t="s">
        <v>51</v>
      </c>
      <c r="D6" s="82" t="s">
        <v>171</v>
      </c>
      <c r="E6" s="88">
        <f>Table81012131415[[#This Row],[CAD - Amount]]*$E$2</f>
        <v>308000</v>
      </c>
      <c r="F6" s="88">
        <v>400000</v>
      </c>
      <c r="G6" s="87">
        <f>Table81012131415[[#This Row],[Total US$ ]]*$G$1</f>
        <v>5251400</v>
      </c>
      <c r="H6" s="85" t="s">
        <v>144</v>
      </c>
      <c r="I6" s="96" t="s">
        <v>173</v>
      </c>
      <c r="J6" s="109" t="s">
        <v>329</v>
      </c>
      <c r="K6" s="82" t="s">
        <v>518</v>
      </c>
      <c r="L6" s="111">
        <v>44927</v>
      </c>
      <c r="M6" s="111">
        <v>46203</v>
      </c>
    </row>
    <row r="7" spans="1:13" ht="335" x14ac:dyDescent="0.2">
      <c r="A7" s="85" t="s">
        <v>270</v>
      </c>
      <c r="B7" s="85" t="s">
        <v>128</v>
      </c>
      <c r="C7" s="82" t="s">
        <v>51</v>
      </c>
      <c r="D7" s="82" t="s">
        <v>170</v>
      </c>
      <c r="E7" s="88">
        <f>Table81012131415[[#This Row],[CAD - Amount]]*$E$2</f>
        <v>161700</v>
      </c>
      <c r="F7" s="88">
        <v>210000</v>
      </c>
      <c r="G7" s="87">
        <f>Table81012131415[[#This Row],[Total US$ ]]*$G$1</f>
        <v>2756985</v>
      </c>
      <c r="H7" s="85" t="s">
        <v>144</v>
      </c>
      <c r="I7" s="96" t="s">
        <v>393</v>
      </c>
      <c r="J7" s="109" t="s">
        <v>329</v>
      </c>
      <c r="K7" s="82" t="s">
        <v>519</v>
      </c>
      <c r="L7" s="111">
        <v>44986</v>
      </c>
      <c r="M7" s="111">
        <v>46203</v>
      </c>
    </row>
    <row r="8" spans="1:13" x14ac:dyDescent="0.2">
      <c r="A8" s="85"/>
      <c r="B8" s="85"/>
      <c r="C8" s="81"/>
      <c r="D8" s="81"/>
      <c r="E8" s="86">
        <f>SUBTOTAL(109,Table81012131415[Total US$ ])</f>
        <v>1270500</v>
      </c>
      <c r="F8" s="86">
        <f>SUBTOTAL(109,Table81012131415[CAD - Amount])</f>
        <v>1650000</v>
      </c>
      <c r="G8" s="99">
        <f>SUBTOTAL(109,Table81012131415[Total ZAR])</f>
        <v>21662025</v>
      </c>
      <c r="H8" s="6"/>
      <c r="I8" s="56"/>
      <c r="J8" s="58"/>
      <c r="K8" s="28"/>
      <c r="L8" s="57"/>
      <c r="M8" s="57"/>
    </row>
    <row r="9" spans="1:13" x14ac:dyDescent="0.2">
      <c r="A9" s="35"/>
      <c r="B9" s="26"/>
      <c r="C9" s="13"/>
      <c r="D9" s="13"/>
      <c r="E9" s="29"/>
      <c r="F9" s="29"/>
      <c r="G9" s="31"/>
      <c r="H9" s="6"/>
      <c r="I9" s="7"/>
      <c r="J9" s="27"/>
      <c r="K9" s="7"/>
      <c r="L9" s="15"/>
      <c r="M9" s="15"/>
    </row>
    <row r="10" spans="1:13" ht="27" customHeight="1" x14ac:dyDescent="0.2">
      <c r="A10" s="130" t="s">
        <v>589</v>
      </c>
      <c r="B10" s="130"/>
      <c r="C10" s="130"/>
      <c r="D10" s="130"/>
      <c r="E10" s="130"/>
      <c r="F10" s="130"/>
      <c r="G10" s="130"/>
      <c r="H10" s="130"/>
      <c r="I10" s="130"/>
      <c r="J10" s="130"/>
      <c r="K10" s="130"/>
      <c r="L10" s="130"/>
      <c r="M10" s="130"/>
    </row>
    <row r="11" spans="1:13" x14ac:dyDescent="0.2">
      <c r="B11" s="1"/>
      <c r="F11" s="1"/>
      <c r="G11" s="1"/>
      <c r="H11" s="8"/>
      <c r="I11" s="1"/>
      <c r="J11" s="3"/>
      <c r="L11" s="18"/>
      <c r="M11" s="18"/>
    </row>
    <row r="12" spans="1:13" x14ac:dyDescent="0.2">
      <c r="A12" s="125" t="s">
        <v>590</v>
      </c>
      <c r="B12" s="125"/>
      <c r="C12" s="125"/>
      <c r="D12" s="125"/>
      <c r="E12" s="125"/>
      <c r="F12" s="125"/>
      <c r="G12" s="125"/>
      <c r="H12" s="125"/>
      <c r="I12" s="125"/>
      <c r="J12" s="125"/>
      <c r="K12" s="125"/>
      <c r="L12" s="15"/>
      <c r="M12" s="18"/>
    </row>
    <row r="13" spans="1:13" x14ac:dyDescent="0.2">
      <c r="A13" s="35"/>
      <c r="B13" s="6"/>
      <c r="C13" s="14"/>
      <c r="D13" s="14"/>
      <c r="E13" s="30"/>
      <c r="F13" s="30"/>
      <c r="G13" s="31"/>
      <c r="H13" s="6"/>
      <c r="I13" s="17"/>
      <c r="J13" s="27"/>
      <c r="K13" s="17"/>
      <c r="L13" s="18"/>
      <c r="M13" s="18"/>
    </row>
    <row r="14" spans="1:13" x14ac:dyDescent="0.2">
      <c r="A14" s="35"/>
      <c r="B14" s="6"/>
      <c r="C14" s="14"/>
      <c r="D14" s="14"/>
      <c r="E14" s="30"/>
      <c r="F14" s="30"/>
      <c r="G14" s="31"/>
      <c r="H14" s="6"/>
      <c r="I14" s="17"/>
      <c r="J14" s="27"/>
      <c r="K14" s="17"/>
      <c r="L14" s="18"/>
      <c r="M14" s="18"/>
    </row>
    <row r="15" spans="1:13" x14ac:dyDescent="0.2">
      <c r="A15" s="35"/>
      <c r="B15" s="26"/>
      <c r="C15" s="14"/>
      <c r="D15" s="14"/>
      <c r="E15" s="30"/>
      <c r="F15" s="30"/>
      <c r="G15" s="31"/>
      <c r="H15" s="5"/>
      <c r="I15" s="17"/>
      <c r="J15" s="27"/>
      <c r="K15" s="17"/>
      <c r="L15" s="18"/>
      <c r="M15" s="18"/>
    </row>
    <row r="16" spans="1:13" x14ac:dyDescent="0.2">
      <c r="A16" s="35"/>
      <c r="B16" s="26"/>
      <c r="C16" s="13"/>
      <c r="D16" s="13"/>
      <c r="E16" s="29"/>
      <c r="F16" s="29"/>
      <c r="G16" s="31"/>
      <c r="H16" s="5"/>
      <c r="I16" s="7"/>
      <c r="J16" s="27"/>
      <c r="K16" s="7"/>
      <c r="L16" s="18"/>
      <c r="M16" s="15"/>
    </row>
    <row r="17" spans="1:13" x14ac:dyDescent="0.2">
      <c r="A17" s="35"/>
      <c r="B17" s="26"/>
      <c r="C17" s="13"/>
      <c r="D17" s="13"/>
      <c r="E17" s="29"/>
      <c r="F17" s="29"/>
      <c r="G17" s="31"/>
      <c r="H17" s="5"/>
      <c r="I17" s="7"/>
      <c r="J17" s="27"/>
      <c r="K17" s="13"/>
      <c r="L17" s="18"/>
      <c r="M17" s="15"/>
    </row>
    <row r="18" spans="1:13" x14ac:dyDescent="0.2">
      <c r="A18" s="35"/>
      <c r="B18" s="26"/>
      <c r="C18" s="13"/>
      <c r="D18" s="13"/>
      <c r="E18" s="29"/>
      <c r="F18" s="29"/>
      <c r="G18" s="31"/>
      <c r="H18" s="6"/>
      <c r="I18" s="7"/>
      <c r="J18" s="27"/>
      <c r="K18" s="13"/>
      <c r="L18" s="15"/>
      <c r="M18" s="15"/>
    </row>
    <row r="19" spans="1:13" x14ac:dyDescent="0.2">
      <c r="A19" s="35"/>
      <c r="B19" s="26"/>
      <c r="C19" s="13"/>
      <c r="D19" s="13"/>
      <c r="E19" s="29"/>
      <c r="F19" s="29"/>
      <c r="G19" s="31"/>
      <c r="H19" s="6"/>
      <c r="I19" s="7"/>
      <c r="J19" s="27"/>
      <c r="K19" s="13"/>
      <c r="L19" s="15"/>
      <c r="M19" s="15"/>
    </row>
    <row r="20" spans="1:13" x14ac:dyDescent="0.2">
      <c r="A20" s="35"/>
      <c r="B20" s="26"/>
      <c r="C20" s="13"/>
      <c r="D20" s="13"/>
      <c r="E20" s="29"/>
      <c r="F20" s="29"/>
      <c r="G20" s="31"/>
      <c r="H20" s="6"/>
      <c r="I20" s="7"/>
      <c r="J20" s="27"/>
      <c r="K20" s="13"/>
      <c r="L20" s="15"/>
      <c r="M20" s="15"/>
    </row>
    <row r="21" spans="1:13" x14ac:dyDescent="0.2">
      <c r="A21" s="35"/>
      <c r="B21" s="26"/>
      <c r="C21" s="13"/>
      <c r="D21" s="13"/>
      <c r="E21" s="29"/>
      <c r="F21" s="29"/>
      <c r="G21" s="31"/>
      <c r="H21" s="6"/>
      <c r="I21" s="7"/>
      <c r="J21" s="27"/>
      <c r="K21" s="7"/>
      <c r="L21" s="15"/>
      <c r="M21" s="15"/>
    </row>
    <row r="22" spans="1:13" x14ac:dyDescent="0.2">
      <c r="A22" s="35"/>
      <c r="B22" s="26"/>
      <c r="C22" s="13"/>
      <c r="D22" s="13"/>
      <c r="E22" s="29"/>
      <c r="F22" s="29"/>
      <c r="G22" s="31"/>
      <c r="H22" s="6"/>
      <c r="I22" s="7"/>
      <c r="J22" s="27"/>
      <c r="K22" s="7"/>
      <c r="L22" s="15"/>
      <c r="M22" s="15"/>
    </row>
    <row r="23" spans="1:13" x14ac:dyDescent="0.2">
      <c r="A23" s="35"/>
      <c r="B23" s="26"/>
      <c r="C23" s="13"/>
      <c r="D23" s="13"/>
      <c r="E23" s="29"/>
      <c r="F23" s="29"/>
      <c r="G23" s="31"/>
      <c r="H23" s="6"/>
      <c r="I23" s="7"/>
      <c r="J23" s="27"/>
      <c r="K23" s="13"/>
      <c r="L23" s="18"/>
      <c r="M23" s="15"/>
    </row>
    <row r="24" spans="1:13" x14ac:dyDescent="0.2">
      <c r="A24" s="35"/>
      <c r="B24" s="26"/>
      <c r="C24" s="13"/>
      <c r="D24" s="13"/>
      <c r="E24" s="29"/>
      <c r="F24" s="29"/>
      <c r="G24" s="31"/>
      <c r="H24" s="6"/>
      <c r="I24" s="7"/>
      <c r="J24" s="27"/>
      <c r="K24" s="7"/>
      <c r="L24" s="15"/>
      <c r="M24" s="15"/>
    </row>
    <row r="25" spans="1:13" x14ac:dyDescent="0.2">
      <c r="A25" s="35"/>
      <c r="B25" s="39"/>
      <c r="C25" s="39"/>
      <c r="D25" s="40"/>
      <c r="E25" s="47"/>
      <c r="F25" s="47"/>
      <c r="G25" s="31"/>
      <c r="H25" s="5"/>
      <c r="I25" s="41"/>
      <c r="J25" s="43"/>
      <c r="K25" s="41"/>
      <c r="L25" s="48"/>
      <c r="M25" s="48"/>
    </row>
    <row r="26" spans="1:13" x14ac:dyDescent="0.2">
      <c r="A26" s="35"/>
      <c r="B26" s="35"/>
      <c r="C26" s="6"/>
      <c r="D26" s="33"/>
      <c r="E26" s="49"/>
      <c r="F26" s="49"/>
      <c r="G26" s="31"/>
      <c r="H26" s="5"/>
      <c r="I26" s="36"/>
      <c r="J26" s="27"/>
      <c r="K26" s="36"/>
      <c r="L26" s="38"/>
      <c r="M26" s="38"/>
    </row>
    <row r="27" spans="1:13" x14ac:dyDescent="0.2">
      <c r="A27" s="35"/>
      <c r="B27" s="39"/>
      <c r="C27" s="5"/>
      <c r="D27" s="40"/>
      <c r="E27" s="47"/>
      <c r="F27" s="47"/>
      <c r="G27" s="31"/>
      <c r="H27" s="5"/>
      <c r="I27" s="41"/>
      <c r="J27" s="43"/>
      <c r="K27" s="41"/>
      <c r="L27" s="48"/>
      <c r="M27" s="48"/>
    </row>
    <row r="28" spans="1:13" x14ac:dyDescent="0.2">
      <c r="A28" s="35"/>
      <c r="B28" s="39"/>
      <c r="C28" s="40"/>
      <c r="D28" s="40"/>
      <c r="E28" s="47"/>
      <c r="F28" s="47"/>
      <c r="G28" s="31"/>
      <c r="H28" s="5"/>
      <c r="I28" s="41"/>
      <c r="J28" s="43"/>
      <c r="K28" s="41"/>
      <c r="L28" s="48"/>
      <c r="M28" s="48"/>
    </row>
    <row r="29" spans="1:13" x14ac:dyDescent="0.2">
      <c r="A29" s="35"/>
      <c r="B29" s="35"/>
      <c r="C29" s="33"/>
      <c r="D29" s="33"/>
      <c r="E29" s="49"/>
      <c r="F29" s="49"/>
      <c r="G29" s="31"/>
      <c r="H29" s="6"/>
      <c r="I29" s="36"/>
      <c r="J29" s="27"/>
      <c r="K29" s="36"/>
      <c r="L29" s="38"/>
      <c r="M29" s="38"/>
    </row>
    <row r="30" spans="1:13" x14ac:dyDescent="0.2">
      <c r="A30" s="35"/>
      <c r="B30" s="39"/>
      <c r="C30" s="40"/>
      <c r="D30" s="40"/>
      <c r="E30" s="39"/>
      <c r="F30" s="39"/>
      <c r="G30" s="31"/>
      <c r="H30" s="5"/>
      <c r="I30" s="41"/>
      <c r="J30" s="43"/>
      <c r="K30" s="41"/>
      <c r="L30" s="48"/>
      <c r="M30" s="48"/>
    </row>
    <row r="31" spans="1:13" x14ac:dyDescent="0.2">
      <c r="A31" s="35"/>
      <c r="B31" s="39"/>
      <c r="C31" s="40"/>
      <c r="D31" s="40"/>
      <c r="E31" s="39"/>
      <c r="F31" s="39"/>
      <c r="G31" s="31"/>
      <c r="H31" s="5"/>
      <c r="I31" s="41"/>
      <c r="J31" s="43"/>
      <c r="K31" s="41"/>
      <c r="L31" s="48"/>
      <c r="M31" s="48"/>
    </row>
    <row r="32" spans="1:13" x14ac:dyDescent="0.2">
      <c r="A32" s="35"/>
      <c r="B32" s="35"/>
      <c r="C32" s="40"/>
      <c r="D32" s="33"/>
      <c r="E32" s="49"/>
      <c r="F32" s="49"/>
      <c r="G32" s="31"/>
      <c r="H32" s="6"/>
      <c r="I32" s="36"/>
      <c r="J32" s="27"/>
      <c r="K32" s="36"/>
      <c r="L32" s="38"/>
      <c r="M32" s="38"/>
    </row>
    <row r="33" spans="1:13" x14ac:dyDescent="0.2">
      <c r="A33" s="35"/>
      <c r="B33" s="35"/>
      <c r="C33" s="33"/>
      <c r="D33" s="33"/>
      <c r="E33" s="49"/>
      <c r="F33" s="49"/>
      <c r="G33" s="31"/>
      <c r="H33" s="6"/>
      <c r="I33" s="36"/>
      <c r="J33" s="27"/>
      <c r="K33" s="36"/>
      <c r="L33" s="38"/>
      <c r="M33" s="38"/>
    </row>
    <row r="34" spans="1:13" x14ac:dyDescent="0.2">
      <c r="A34" s="35"/>
      <c r="B34" s="39"/>
      <c r="C34" s="40"/>
      <c r="D34" s="40"/>
      <c r="E34" s="39"/>
      <c r="F34" s="39"/>
      <c r="G34" s="31"/>
      <c r="H34" s="6"/>
      <c r="I34" s="41"/>
      <c r="J34" s="42"/>
      <c r="K34" s="41"/>
      <c r="L34" s="48"/>
      <c r="M34" s="48"/>
    </row>
    <row r="35" spans="1:13" x14ac:dyDescent="0.2">
      <c r="A35" s="35"/>
      <c r="B35" s="35"/>
      <c r="C35" s="33"/>
      <c r="D35" s="33"/>
      <c r="E35" s="49"/>
      <c r="F35" s="49"/>
      <c r="G35" s="31"/>
      <c r="H35" s="6"/>
      <c r="I35" s="36"/>
      <c r="J35" s="27"/>
      <c r="K35" s="36"/>
      <c r="L35" s="38"/>
      <c r="M35" s="38"/>
    </row>
    <row r="36" spans="1:13" x14ac:dyDescent="0.2">
      <c r="A36" s="35"/>
      <c r="B36" s="6"/>
      <c r="C36" s="19"/>
      <c r="D36" s="14"/>
      <c r="E36" s="32"/>
      <c r="F36" s="32"/>
      <c r="G36" s="31"/>
      <c r="H36" s="6"/>
      <c r="I36" s="21"/>
      <c r="J36" s="59"/>
      <c r="K36" s="19"/>
      <c r="L36" s="22"/>
      <c r="M36" s="22"/>
    </row>
    <row r="37" spans="1:13" x14ac:dyDescent="0.2">
      <c r="A37" s="35"/>
      <c r="B37" s="6"/>
      <c r="C37" s="19"/>
      <c r="D37" s="14"/>
      <c r="E37" s="32"/>
      <c r="F37" s="32"/>
      <c r="G37" s="31"/>
      <c r="H37" s="6"/>
      <c r="I37" s="21"/>
      <c r="J37" s="59"/>
      <c r="K37" s="19"/>
      <c r="L37" s="22"/>
      <c r="M37" s="22"/>
    </row>
    <row r="38" spans="1:13" x14ac:dyDescent="0.2">
      <c r="A38" s="35"/>
      <c r="B38" s="6"/>
      <c r="C38" s="19"/>
      <c r="D38" s="14"/>
      <c r="E38" s="32"/>
      <c r="F38" s="32"/>
      <c r="G38" s="31"/>
      <c r="H38" s="6"/>
      <c r="I38" s="21"/>
      <c r="J38" s="59"/>
      <c r="K38" s="19"/>
      <c r="L38" s="22"/>
      <c r="M38" s="22"/>
    </row>
    <row r="39" spans="1:13" x14ac:dyDescent="0.2">
      <c r="A39" s="35"/>
      <c r="B39" s="6"/>
      <c r="C39" s="19"/>
      <c r="D39" s="14"/>
      <c r="E39" s="32"/>
      <c r="F39" s="32"/>
      <c r="G39" s="31"/>
      <c r="H39" s="6"/>
      <c r="I39" s="21"/>
      <c r="J39" s="59"/>
      <c r="K39" s="19"/>
      <c r="L39" s="22"/>
      <c r="M39" s="22"/>
    </row>
    <row r="40" spans="1:13" x14ac:dyDescent="0.2">
      <c r="A40" s="35"/>
      <c r="B40" s="6"/>
      <c r="C40" s="19"/>
      <c r="D40" s="14"/>
      <c r="E40" s="32"/>
      <c r="F40" s="32"/>
      <c r="G40" s="31"/>
      <c r="H40" s="6"/>
      <c r="I40" s="21"/>
      <c r="J40" s="59"/>
      <c r="K40" s="19"/>
      <c r="L40" s="22"/>
      <c r="M40" s="22"/>
    </row>
    <row r="41" spans="1:13" x14ac:dyDescent="0.2">
      <c r="A41" s="35"/>
      <c r="B41" s="6"/>
      <c r="C41" s="19"/>
      <c r="D41" s="14"/>
      <c r="E41" s="32"/>
      <c r="F41" s="32"/>
      <c r="G41" s="31"/>
      <c r="H41" s="6"/>
      <c r="I41" s="21"/>
      <c r="J41" s="59"/>
      <c r="K41" s="19"/>
      <c r="L41" s="22"/>
      <c r="M41" s="22"/>
    </row>
    <row r="42" spans="1:13" x14ac:dyDescent="0.2">
      <c r="A42" s="35"/>
      <c r="B42" s="6"/>
      <c r="C42" s="19"/>
      <c r="D42" s="14"/>
      <c r="E42" s="32"/>
      <c r="F42" s="32"/>
      <c r="G42" s="31"/>
      <c r="H42" s="6"/>
      <c r="I42" s="21"/>
      <c r="J42" s="59"/>
      <c r="K42" s="19"/>
      <c r="L42" s="22"/>
      <c r="M42" s="22"/>
    </row>
    <row r="43" spans="1:13" x14ac:dyDescent="0.2">
      <c r="A43" s="35"/>
      <c r="B43" s="6"/>
      <c r="C43" s="19"/>
      <c r="D43" s="14"/>
      <c r="E43" s="32"/>
      <c r="F43" s="32"/>
      <c r="G43" s="31"/>
      <c r="H43" s="6"/>
      <c r="I43" s="21"/>
      <c r="J43" s="59"/>
      <c r="K43" s="19"/>
      <c r="L43" s="22"/>
      <c r="M43" s="22"/>
    </row>
    <row r="44" spans="1:13" x14ac:dyDescent="0.2">
      <c r="A44" s="35"/>
      <c r="B44" s="6"/>
      <c r="C44" s="19"/>
      <c r="D44" s="14"/>
      <c r="E44" s="32"/>
      <c r="F44" s="32"/>
      <c r="G44" s="31"/>
      <c r="H44" s="6"/>
      <c r="I44" s="21"/>
      <c r="J44" s="59"/>
      <c r="K44" s="19"/>
      <c r="L44" s="22"/>
      <c r="M44" s="22"/>
    </row>
    <row r="45" spans="1:13" x14ac:dyDescent="0.2">
      <c r="A45" s="35"/>
      <c r="B45" s="6"/>
      <c r="C45" s="19"/>
      <c r="D45" s="14"/>
      <c r="E45" s="32"/>
      <c r="F45" s="32"/>
      <c r="G45" s="31"/>
      <c r="H45" s="6"/>
      <c r="I45" s="21"/>
      <c r="J45" s="59"/>
      <c r="K45" s="19"/>
      <c r="L45" s="22"/>
      <c r="M45" s="22"/>
    </row>
    <row r="46" spans="1:13" x14ac:dyDescent="0.2">
      <c r="A46" s="35"/>
      <c r="B46" s="6"/>
      <c r="C46" s="19"/>
      <c r="D46" s="14"/>
      <c r="E46" s="32"/>
      <c r="F46" s="32"/>
      <c r="G46" s="31"/>
      <c r="H46" s="6"/>
      <c r="I46" s="21"/>
      <c r="J46" s="59"/>
      <c r="K46" s="19"/>
      <c r="L46" s="22"/>
      <c r="M46" s="22"/>
    </row>
    <row r="47" spans="1:13" x14ac:dyDescent="0.2">
      <c r="A47" s="35"/>
      <c r="B47" s="6"/>
      <c r="C47" s="19"/>
      <c r="D47" s="14"/>
      <c r="E47" s="32"/>
      <c r="F47" s="32"/>
      <c r="G47" s="31"/>
      <c r="H47" s="6"/>
      <c r="I47" s="21"/>
      <c r="J47" s="59"/>
      <c r="K47" s="19"/>
      <c r="L47" s="22"/>
      <c r="M47" s="22"/>
    </row>
    <row r="48" spans="1:13" x14ac:dyDescent="0.2">
      <c r="A48" s="35"/>
      <c r="B48" s="6"/>
      <c r="C48" s="19"/>
      <c r="D48" s="14"/>
      <c r="E48" s="32"/>
      <c r="F48" s="32"/>
      <c r="G48" s="31"/>
      <c r="H48" s="6"/>
      <c r="I48" s="21"/>
      <c r="J48" s="59"/>
      <c r="K48" s="19"/>
      <c r="L48" s="22"/>
      <c r="M48" s="22"/>
    </row>
    <row r="49" spans="1:13" x14ac:dyDescent="0.2">
      <c r="A49" s="35"/>
      <c r="B49" s="6"/>
      <c r="C49" s="19"/>
      <c r="D49" s="14"/>
      <c r="E49" s="32"/>
      <c r="F49" s="32"/>
      <c r="G49" s="31"/>
      <c r="H49" s="6"/>
      <c r="I49" s="21"/>
      <c r="J49" s="59"/>
      <c r="K49" s="19"/>
      <c r="L49" s="22"/>
      <c r="M49" s="22"/>
    </row>
    <row r="50" spans="1:13" x14ac:dyDescent="0.2">
      <c r="A50" s="35"/>
      <c r="B50" s="6"/>
      <c r="C50" s="19"/>
      <c r="D50" s="14"/>
      <c r="E50" s="32"/>
      <c r="F50" s="32"/>
      <c r="G50" s="31"/>
      <c r="H50" s="6"/>
      <c r="I50" s="21"/>
      <c r="J50" s="59"/>
      <c r="K50" s="19"/>
      <c r="L50" s="22"/>
      <c r="M50" s="22"/>
    </row>
    <row r="51" spans="1:13" x14ac:dyDescent="0.2">
      <c r="A51" s="35"/>
      <c r="B51" s="6"/>
      <c r="C51" s="19"/>
      <c r="D51" s="14"/>
      <c r="E51" s="32"/>
      <c r="F51" s="32"/>
      <c r="G51" s="31"/>
      <c r="H51" s="6"/>
      <c r="I51" s="21"/>
      <c r="J51" s="59"/>
      <c r="K51" s="19"/>
      <c r="L51" s="22"/>
      <c r="M51" s="22"/>
    </row>
    <row r="52" spans="1:13" x14ac:dyDescent="0.2">
      <c r="A52" s="35"/>
      <c r="B52" s="6"/>
      <c r="C52" s="19"/>
      <c r="D52" s="14"/>
      <c r="E52" s="32"/>
      <c r="F52" s="32"/>
      <c r="G52" s="31"/>
      <c r="H52" s="6"/>
      <c r="I52" s="21"/>
      <c r="J52" s="59"/>
      <c r="K52" s="19"/>
      <c r="L52" s="22"/>
      <c r="M52" s="22"/>
    </row>
    <row r="53" spans="1:13" x14ac:dyDescent="0.2">
      <c r="A53" s="35"/>
      <c r="B53" s="6"/>
      <c r="C53" s="19"/>
      <c r="D53" s="14"/>
      <c r="E53" s="32"/>
      <c r="F53" s="32"/>
      <c r="G53" s="31"/>
      <c r="H53" s="6"/>
      <c r="I53" s="21"/>
      <c r="J53" s="59"/>
      <c r="K53" s="19"/>
      <c r="L53" s="22"/>
      <c r="M53" s="22"/>
    </row>
    <row r="54" spans="1:13" x14ac:dyDescent="0.2">
      <c r="A54" s="35"/>
      <c r="B54" s="6"/>
      <c r="C54" s="19"/>
      <c r="D54" s="14"/>
      <c r="E54" s="32"/>
      <c r="F54" s="32"/>
      <c r="G54" s="31"/>
      <c r="H54" s="6"/>
      <c r="I54" s="21"/>
      <c r="J54" s="59"/>
      <c r="K54" s="19"/>
      <c r="L54" s="22"/>
      <c r="M54" s="22"/>
    </row>
    <row r="55" spans="1:13" x14ac:dyDescent="0.2">
      <c r="A55" s="35"/>
      <c r="B55" s="6"/>
      <c r="C55" s="19"/>
      <c r="D55" s="14"/>
      <c r="E55" s="32"/>
      <c r="F55" s="32"/>
      <c r="G55" s="31"/>
      <c r="H55" s="6"/>
      <c r="I55" s="21"/>
      <c r="J55" s="59"/>
      <c r="K55" s="19"/>
      <c r="L55" s="22"/>
      <c r="M55" s="22"/>
    </row>
    <row r="56" spans="1:13" x14ac:dyDescent="0.2">
      <c r="A56" s="35"/>
      <c r="B56" s="6"/>
      <c r="C56" s="19"/>
      <c r="D56" s="14"/>
      <c r="E56" s="32"/>
      <c r="F56" s="32"/>
      <c r="G56" s="31"/>
      <c r="H56" s="6"/>
      <c r="I56" s="21"/>
      <c r="J56" s="59"/>
      <c r="K56" s="19"/>
      <c r="L56" s="22"/>
      <c r="M56" s="22"/>
    </row>
    <row r="57" spans="1:13" x14ac:dyDescent="0.2">
      <c r="A57" s="35"/>
      <c r="B57" s="6"/>
      <c r="C57" s="19"/>
      <c r="D57" s="14"/>
      <c r="E57" s="32"/>
      <c r="F57" s="32"/>
      <c r="G57" s="31"/>
      <c r="H57" s="6"/>
      <c r="I57" s="21"/>
      <c r="J57" s="59"/>
      <c r="K57" s="19"/>
      <c r="L57" s="22"/>
      <c r="M57" s="22"/>
    </row>
    <row r="58" spans="1:13" x14ac:dyDescent="0.2">
      <c r="A58" s="35"/>
      <c r="B58" s="6"/>
      <c r="C58" s="19"/>
      <c r="D58" s="14"/>
      <c r="E58" s="32"/>
      <c r="F58" s="32"/>
      <c r="G58" s="31"/>
      <c r="H58" s="6"/>
      <c r="I58" s="21"/>
      <c r="J58" s="59"/>
      <c r="K58" s="19"/>
      <c r="L58" s="22"/>
      <c r="M58" s="22"/>
    </row>
    <row r="59" spans="1:13" x14ac:dyDescent="0.2">
      <c r="A59" s="35"/>
      <c r="B59" s="6"/>
      <c r="C59" s="19"/>
      <c r="D59" s="14"/>
      <c r="E59" s="32"/>
      <c r="F59" s="32"/>
      <c r="G59" s="31"/>
      <c r="H59" s="6"/>
      <c r="I59" s="21"/>
      <c r="J59" s="59"/>
      <c r="K59" s="19"/>
      <c r="L59" s="22"/>
      <c r="M59" s="22"/>
    </row>
    <row r="60" spans="1:13" x14ac:dyDescent="0.2">
      <c r="A60" s="35"/>
      <c r="B60" s="6"/>
      <c r="C60" s="19"/>
      <c r="D60" s="14"/>
      <c r="E60" s="32"/>
      <c r="F60" s="32"/>
      <c r="G60" s="31"/>
      <c r="H60" s="6"/>
      <c r="I60" s="21"/>
      <c r="J60" s="59"/>
      <c r="K60" s="19"/>
      <c r="L60" s="22"/>
      <c r="M60" s="22"/>
    </row>
    <row r="61" spans="1:13" x14ac:dyDescent="0.2">
      <c r="A61" s="35"/>
      <c r="B61" s="6"/>
      <c r="C61" s="19"/>
      <c r="D61" s="14"/>
      <c r="E61" s="32"/>
      <c r="F61" s="32"/>
      <c r="G61" s="31"/>
      <c r="H61" s="6"/>
      <c r="I61" s="21"/>
      <c r="J61" s="59"/>
      <c r="K61" s="19"/>
      <c r="L61" s="22"/>
      <c r="M61" s="22"/>
    </row>
    <row r="62" spans="1:13" x14ac:dyDescent="0.2">
      <c r="A62" s="35"/>
      <c r="B62" s="6"/>
      <c r="C62" s="19"/>
      <c r="D62" s="14"/>
      <c r="E62" s="32"/>
      <c r="F62" s="32"/>
      <c r="G62" s="31"/>
      <c r="H62" s="6"/>
      <c r="I62" s="21"/>
      <c r="J62" s="59"/>
      <c r="K62" s="19"/>
      <c r="L62" s="22"/>
      <c r="M62" s="22"/>
    </row>
    <row r="63" spans="1:13" x14ac:dyDescent="0.2">
      <c r="A63" s="35"/>
      <c r="B63" s="6"/>
      <c r="C63" s="19"/>
      <c r="D63" s="14"/>
      <c r="E63" s="32"/>
      <c r="F63" s="32"/>
      <c r="G63" s="31"/>
      <c r="H63" s="6"/>
      <c r="I63" s="21"/>
      <c r="J63" s="59"/>
      <c r="K63" s="19"/>
      <c r="L63" s="22"/>
      <c r="M63" s="22"/>
    </row>
    <row r="64" spans="1:13" x14ac:dyDescent="0.2">
      <c r="A64" s="35"/>
      <c r="B64" s="6"/>
      <c r="C64" s="19"/>
      <c r="D64" s="14"/>
      <c r="E64" s="32"/>
      <c r="F64" s="32"/>
      <c r="G64" s="31"/>
      <c r="H64" s="6"/>
      <c r="I64" s="21"/>
      <c r="J64" s="59"/>
      <c r="K64" s="19"/>
      <c r="L64" s="22"/>
      <c r="M64" s="22"/>
    </row>
    <row r="65" spans="1:13" x14ac:dyDescent="0.2">
      <c r="A65" s="35"/>
      <c r="B65" s="6"/>
      <c r="C65" s="19"/>
      <c r="D65" s="14"/>
      <c r="E65" s="32"/>
      <c r="F65" s="32"/>
      <c r="G65" s="31"/>
      <c r="H65" s="6"/>
      <c r="I65" s="21"/>
      <c r="J65" s="59"/>
      <c r="K65" s="19"/>
      <c r="L65" s="22"/>
      <c r="M65" s="22"/>
    </row>
    <row r="66" spans="1:13" x14ac:dyDescent="0.2">
      <c r="A66" s="35"/>
      <c r="B66" s="6"/>
      <c r="C66" s="19"/>
      <c r="D66" s="14"/>
      <c r="E66" s="32"/>
      <c r="F66" s="32"/>
      <c r="G66" s="31"/>
      <c r="H66" s="6"/>
      <c r="I66" s="21"/>
      <c r="J66" s="59"/>
      <c r="K66" s="19"/>
      <c r="L66" s="22"/>
      <c r="M66" s="22"/>
    </row>
    <row r="67" spans="1:13" x14ac:dyDescent="0.2">
      <c r="A67" s="35"/>
      <c r="B67" s="6"/>
      <c r="C67" s="19"/>
      <c r="D67" s="14"/>
      <c r="E67" s="32"/>
      <c r="F67" s="32"/>
      <c r="G67" s="31"/>
      <c r="H67" s="6"/>
      <c r="I67" s="21"/>
      <c r="J67" s="59"/>
      <c r="K67" s="19"/>
      <c r="L67" s="22"/>
      <c r="M67" s="22"/>
    </row>
    <row r="68" spans="1:13" x14ac:dyDescent="0.2">
      <c r="A68" s="35"/>
      <c r="B68" s="6"/>
      <c r="C68" s="19"/>
      <c r="D68" s="14"/>
      <c r="E68" s="32"/>
      <c r="F68" s="32"/>
      <c r="G68" s="31"/>
      <c r="H68" s="6"/>
      <c r="I68" s="21"/>
      <c r="J68" s="59"/>
      <c r="K68" s="19"/>
      <c r="L68" s="22"/>
      <c r="M68" s="22"/>
    </row>
    <row r="69" spans="1:13" x14ac:dyDescent="0.2">
      <c r="A69" s="35"/>
      <c r="B69" s="6"/>
      <c r="C69" s="19"/>
      <c r="D69" s="14"/>
      <c r="E69" s="32"/>
      <c r="F69" s="32"/>
      <c r="G69" s="31"/>
      <c r="H69" s="6"/>
      <c r="I69" s="21"/>
      <c r="J69" s="59"/>
      <c r="K69" s="19"/>
      <c r="L69" s="22"/>
      <c r="M69" s="22"/>
    </row>
    <row r="70" spans="1:13" x14ac:dyDescent="0.2">
      <c r="A70" s="35"/>
      <c r="B70" s="6"/>
      <c r="C70" s="19"/>
      <c r="D70" s="14"/>
      <c r="E70" s="32"/>
      <c r="F70" s="32"/>
      <c r="G70" s="31"/>
      <c r="H70" s="6"/>
      <c r="I70" s="21"/>
      <c r="J70" s="59"/>
      <c r="K70" s="19"/>
      <c r="L70" s="22"/>
      <c r="M70" s="22"/>
    </row>
    <row r="71" spans="1:13" x14ac:dyDescent="0.2">
      <c r="A71" s="35"/>
      <c r="B71" s="6"/>
      <c r="C71" s="19"/>
      <c r="D71" s="14"/>
      <c r="E71" s="32"/>
      <c r="F71" s="32"/>
      <c r="G71" s="31"/>
      <c r="H71" s="6"/>
      <c r="I71" s="21"/>
      <c r="J71" s="59"/>
      <c r="K71" s="19"/>
      <c r="L71" s="22"/>
      <c r="M71" s="22"/>
    </row>
    <row r="72" spans="1:13" x14ac:dyDescent="0.2">
      <c r="A72" s="35"/>
      <c r="B72" s="6"/>
      <c r="C72" s="19"/>
      <c r="D72" s="14"/>
      <c r="E72" s="32"/>
      <c r="F72" s="32"/>
      <c r="G72" s="31"/>
      <c r="H72" s="6"/>
      <c r="I72" s="21"/>
      <c r="J72" s="59"/>
      <c r="K72" s="19"/>
      <c r="L72" s="22"/>
      <c r="M72" s="22"/>
    </row>
    <row r="73" spans="1:13" x14ac:dyDescent="0.2">
      <c r="A73" s="35"/>
      <c r="B73" s="6"/>
      <c r="C73" s="19"/>
      <c r="D73" s="14"/>
      <c r="E73" s="32"/>
      <c r="F73" s="32"/>
      <c r="G73" s="31"/>
      <c r="H73" s="6"/>
      <c r="I73" s="21"/>
      <c r="J73" s="59"/>
      <c r="K73" s="19"/>
      <c r="L73" s="22"/>
      <c r="M73" s="22"/>
    </row>
    <row r="74" spans="1:13" x14ac:dyDescent="0.2">
      <c r="A74" s="35"/>
      <c r="B74" s="6"/>
      <c r="C74" s="19"/>
      <c r="D74" s="14"/>
      <c r="E74" s="32"/>
      <c r="F74" s="32"/>
      <c r="G74" s="31"/>
      <c r="H74" s="6"/>
      <c r="I74" s="21"/>
      <c r="J74" s="59"/>
      <c r="K74" s="19"/>
      <c r="L74" s="22"/>
      <c r="M74" s="22"/>
    </row>
    <row r="75" spans="1:13" x14ac:dyDescent="0.2">
      <c r="A75" s="35"/>
      <c r="B75" s="6"/>
      <c r="C75" s="19"/>
      <c r="D75" s="14"/>
      <c r="E75" s="32"/>
      <c r="F75" s="32"/>
      <c r="G75" s="31"/>
      <c r="H75" s="6"/>
      <c r="I75" s="21"/>
      <c r="J75" s="59"/>
      <c r="K75" s="19"/>
      <c r="L75" s="22"/>
      <c r="M75" s="22"/>
    </row>
    <row r="76" spans="1:13" x14ac:dyDescent="0.2">
      <c r="A76" s="35"/>
      <c r="B76" s="6"/>
      <c r="C76" s="19"/>
      <c r="D76" s="14"/>
      <c r="E76" s="32"/>
      <c r="F76" s="32"/>
      <c r="G76" s="31"/>
      <c r="H76" s="6"/>
      <c r="I76" s="21"/>
      <c r="J76" s="59"/>
      <c r="K76" s="19"/>
      <c r="L76" s="22"/>
      <c r="M76" s="22"/>
    </row>
    <row r="77" spans="1:13" x14ac:dyDescent="0.2">
      <c r="A77" s="35"/>
      <c r="B77" s="6"/>
      <c r="C77" s="19"/>
      <c r="D77" s="14"/>
      <c r="E77" s="32"/>
      <c r="F77" s="32"/>
      <c r="G77" s="31"/>
      <c r="H77" s="6"/>
      <c r="I77" s="21"/>
      <c r="J77" s="59"/>
      <c r="K77" s="19"/>
      <c r="L77" s="22"/>
      <c r="M77" s="22"/>
    </row>
    <row r="78" spans="1:13" x14ac:dyDescent="0.2">
      <c r="A78" s="35"/>
      <c r="B78" s="6"/>
      <c r="C78" s="19"/>
      <c r="D78" s="14"/>
      <c r="E78" s="32"/>
      <c r="F78" s="32"/>
      <c r="G78" s="31"/>
      <c r="H78" s="6"/>
      <c r="I78" s="21"/>
      <c r="J78" s="59"/>
      <c r="K78" s="19"/>
      <c r="L78" s="22"/>
      <c r="M78" s="22"/>
    </row>
    <row r="79" spans="1:13" x14ac:dyDescent="0.2">
      <c r="A79" s="35"/>
      <c r="B79" s="6"/>
      <c r="C79" s="19"/>
      <c r="D79" s="14"/>
      <c r="E79" s="32"/>
      <c r="F79" s="32"/>
      <c r="G79" s="31"/>
      <c r="H79" s="6"/>
      <c r="I79" s="21"/>
      <c r="J79" s="59"/>
      <c r="K79" s="19"/>
      <c r="L79" s="22"/>
      <c r="M79" s="22"/>
    </row>
    <row r="80" spans="1:13" x14ac:dyDescent="0.2">
      <c r="A80" s="35"/>
      <c r="B80" s="6"/>
      <c r="C80" s="19"/>
      <c r="D80" s="14"/>
      <c r="E80" s="32"/>
      <c r="F80" s="32"/>
      <c r="G80" s="31"/>
      <c r="H80" s="6"/>
      <c r="I80" s="21"/>
      <c r="J80" s="59"/>
      <c r="K80" s="19"/>
      <c r="L80" s="22"/>
      <c r="M80" s="22"/>
    </row>
    <row r="81" spans="1:13" x14ac:dyDescent="0.2">
      <c r="A81" s="35"/>
      <c r="B81" s="6"/>
      <c r="C81" s="19"/>
      <c r="D81" s="14"/>
      <c r="E81" s="32"/>
      <c r="F81" s="32"/>
      <c r="G81" s="31"/>
      <c r="H81" s="6"/>
      <c r="I81" s="21"/>
      <c r="J81" s="59"/>
      <c r="K81" s="19"/>
      <c r="L81" s="22"/>
      <c r="M81" s="22"/>
    </row>
    <row r="82" spans="1:13" x14ac:dyDescent="0.2">
      <c r="A82" s="35"/>
      <c r="B82" s="6"/>
      <c r="C82" s="19"/>
      <c r="D82" s="14"/>
      <c r="E82" s="32"/>
      <c r="F82" s="32"/>
      <c r="G82" s="31"/>
      <c r="H82" s="6"/>
      <c r="I82" s="21"/>
      <c r="J82" s="59"/>
      <c r="K82" s="19"/>
      <c r="L82" s="22"/>
      <c r="M82" s="22"/>
    </row>
    <row r="83" spans="1:13" x14ac:dyDescent="0.2">
      <c r="A83" s="35"/>
      <c r="B83" s="6"/>
      <c r="C83" s="19"/>
      <c r="D83" s="14"/>
      <c r="E83" s="32"/>
      <c r="F83" s="32"/>
      <c r="G83" s="31"/>
      <c r="H83" s="6"/>
      <c r="I83" s="21"/>
      <c r="J83" s="59"/>
      <c r="K83" s="19"/>
      <c r="L83" s="22"/>
      <c r="M83" s="22"/>
    </row>
    <row r="84" spans="1:13" x14ac:dyDescent="0.2">
      <c r="A84" s="35"/>
      <c r="B84" s="6"/>
      <c r="C84" s="19"/>
      <c r="D84" s="14"/>
      <c r="E84" s="32"/>
      <c r="F84" s="32"/>
      <c r="G84" s="31"/>
      <c r="H84" s="6"/>
      <c r="I84" s="21"/>
      <c r="J84" s="59"/>
      <c r="K84" s="19"/>
      <c r="L84" s="22"/>
      <c r="M84" s="22"/>
    </row>
    <row r="85" spans="1:13" x14ac:dyDescent="0.2">
      <c r="A85" s="35"/>
      <c r="B85" s="6"/>
      <c r="C85" s="19"/>
      <c r="D85" s="14"/>
      <c r="E85" s="32"/>
      <c r="F85" s="32"/>
      <c r="G85" s="31"/>
      <c r="H85" s="6"/>
      <c r="I85" s="21"/>
      <c r="J85" s="59"/>
      <c r="K85" s="19"/>
      <c r="L85" s="22"/>
      <c r="M85" s="22"/>
    </row>
    <row r="86" spans="1:13" x14ac:dyDescent="0.2">
      <c r="A86" s="35"/>
      <c r="B86" s="6"/>
      <c r="C86" s="19"/>
      <c r="D86" s="14"/>
      <c r="E86" s="32"/>
      <c r="F86" s="32"/>
      <c r="G86" s="31"/>
      <c r="H86" s="6"/>
      <c r="I86" s="21"/>
      <c r="J86" s="59"/>
      <c r="K86" s="19"/>
      <c r="L86" s="22"/>
      <c r="M86" s="22"/>
    </row>
    <row r="87" spans="1:13" x14ac:dyDescent="0.2">
      <c r="A87" s="35"/>
      <c r="B87" s="6"/>
      <c r="C87" s="19"/>
      <c r="D87" s="14"/>
      <c r="E87" s="32"/>
      <c r="F87" s="32"/>
      <c r="G87" s="31"/>
      <c r="H87" s="6"/>
      <c r="I87" s="21"/>
      <c r="J87" s="59"/>
      <c r="K87" s="19"/>
      <c r="L87" s="22"/>
      <c r="M87" s="22"/>
    </row>
    <row r="88" spans="1:13" x14ac:dyDescent="0.2">
      <c r="A88" s="35"/>
      <c r="B88" s="6"/>
      <c r="C88" s="19"/>
      <c r="D88" s="14"/>
      <c r="E88" s="32"/>
      <c r="F88" s="32"/>
      <c r="G88" s="31"/>
      <c r="H88" s="6"/>
      <c r="I88" s="21"/>
      <c r="J88" s="59"/>
      <c r="K88" s="19"/>
      <c r="L88" s="22"/>
      <c r="M88" s="22"/>
    </row>
    <row r="89" spans="1:13" x14ac:dyDescent="0.2">
      <c r="A89" s="35"/>
      <c r="B89" s="6"/>
      <c r="C89" s="19"/>
      <c r="D89" s="14"/>
      <c r="E89" s="32"/>
      <c r="F89" s="32"/>
      <c r="G89" s="31"/>
      <c r="H89" s="6"/>
      <c r="I89" s="21"/>
      <c r="J89" s="59"/>
      <c r="K89" s="19"/>
      <c r="L89" s="22"/>
      <c r="M89" s="22"/>
    </row>
    <row r="90" spans="1:13" x14ac:dyDescent="0.2">
      <c r="A90" s="35"/>
      <c r="B90" s="6"/>
      <c r="C90" s="19"/>
      <c r="D90" s="14"/>
      <c r="E90" s="32"/>
      <c r="F90" s="32"/>
      <c r="G90" s="31"/>
      <c r="H90" s="6"/>
      <c r="I90" s="21"/>
      <c r="J90" s="59"/>
      <c r="K90" s="19"/>
      <c r="L90" s="22"/>
      <c r="M90" s="22"/>
    </row>
    <row r="91" spans="1:13" x14ac:dyDescent="0.2">
      <c r="A91" s="35"/>
      <c r="B91" s="6"/>
      <c r="C91" s="19"/>
      <c r="D91" s="14"/>
      <c r="E91" s="32"/>
      <c r="F91" s="32"/>
      <c r="G91" s="31"/>
      <c r="H91" s="6"/>
      <c r="I91" s="21"/>
      <c r="J91" s="59"/>
      <c r="K91" s="19"/>
      <c r="L91" s="22"/>
      <c r="M91" s="22"/>
    </row>
    <row r="92" spans="1:13" x14ac:dyDescent="0.2">
      <c r="A92" s="35"/>
      <c r="B92" s="6"/>
      <c r="C92" s="19"/>
      <c r="D92" s="14"/>
      <c r="E92" s="32"/>
      <c r="F92" s="32"/>
      <c r="G92" s="31"/>
      <c r="H92" s="6"/>
      <c r="I92" s="21"/>
      <c r="J92" s="59"/>
      <c r="K92" s="19"/>
      <c r="L92" s="22"/>
      <c r="M92" s="22"/>
    </row>
    <row r="93" spans="1:13" x14ac:dyDescent="0.2">
      <c r="A93" s="35"/>
      <c r="B93" s="6"/>
      <c r="C93" s="19"/>
      <c r="D93" s="14"/>
      <c r="E93" s="32"/>
      <c r="F93" s="32"/>
      <c r="G93" s="31"/>
      <c r="H93" s="6"/>
      <c r="I93" s="21"/>
      <c r="J93" s="59"/>
      <c r="K93" s="19"/>
      <c r="L93" s="22"/>
      <c r="M93" s="22"/>
    </row>
    <row r="94" spans="1:13" x14ac:dyDescent="0.2">
      <c r="A94" s="35"/>
      <c r="B94" s="6"/>
      <c r="C94" s="19"/>
      <c r="D94" s="14"/>
      <c r="E94" s="32"/>
      <c r="F94" s="32"/>
      <c r="G94" s="31"/>
      <c r="H94" s="6"/>
      <c r="I94" s="21"/>
      <c r="J94" s="59"/>
      <c r="K94" s="19"/>
      <c r="L94" s="22"/>
      <c r="M94" s="22"/>
    </row>
    <row r="95" spans="1:13" x14ac:dyDescent="0.2">
      <c r="A95" s="35"/>
      <c r="B95" s="6"/>
      <c r="C95" s="19"/>
      <c r="D95" s="14"/>
      <c r="E95" s="32"/>
      <c r="F95" s="32"/>
      <c r="G95" s="31"/>
      <c r="H95" s="6"/>
      <c r="I95" s="21"/>
      <c r="J95" s="59"/>
      <c r="K95" s="19"/>
      <c r="L95" s="22"/>
      <c r="M95" s="22"/>
    </row>
    <row r="96" spans="1:13" x14ac:dyDescent="0.2">
      <c r="A96" s="35"/>
      <c r="B96" s="6"/>
      <c r="C96" s="19"/>
      <c r="D96" s="14"/>
      <c r="E96" s="32"/>
      <c r="F96" s="32"/>
      <c r="G96" s="31"/>
      <c r="H96" s="6"/>
      <c r="I96" s="21"/>
      <c r="J96" s="59"/>
      <c r="K96" s="19"/>
      <c r="L96" s="22"/>
      <c r="M96" s="22"/>
    </row>
    <row r="97" spans="1:13" x14ac:dyDescent="0.2">
      <c r="A97" s="35"/>
      <c r="B97" s="6"/>
      <c r="C97" s="19"/>
      <c r="D97" s="14"/>
      <c r="E97" s="32"/>
      <c r="F97" s="32"/>
      <c r="G97" s="31"/>
      <c r="H97" s="6"/>
      <c r="I97" s="21"/>
      <c r="J97" s="59"/>
      <c r="K97" s="19"/>
      <c r="L97" s="22"/>
      <c r="M97" s="22"/>
    </row>
    <row r="98" spans="1:13" x14ac:dyDescent="0.2">
      <c r="A98" s="35"/>
      <c r="B98" s="6"/>
      <c r="C98" s="19"/>
      <c r="D98" s="14"/>
      <c r="E98" s="32"/>
      <c r="F98" s="32"/>
      <c r="G98" s="31"/>
      <c r="H98" s="6"/>
      <c r="I98" s="21"/>
      <c r="J98" s="59"/>
      <c r="K98" s="19"/>
      <c r="L98" s="22"/>
      <c r="M98" s="22"/>
    </row>
    <row r="99" spans="1:13" x14ac:dyDescent="0.2">
      <c r="A99" s="35"/>
      <c r="B99" s="6"/>
      <c r="C99" s="19"/>
      <c r="D99" s="14"/>
      <c r="E99" s="32"/>
      <c r="F99" s="32"/>
      <c r="G99" s="31"/>
      <c r="H99" s="6"/>
      <c r="I99" s="21"/>
      <c r="J99" s="59"/>
      <c r="K99" s="19"/>
      <c r="L99" s="22"/>
      <c r="M99" s="22"/>
    </row>
    <row r="100" spans="1:13" x14ac:dyDescent="0.2">
      <c r="A100" s="35"/>
      <c r="B100" s="6"/>
      <c r="C100" s="19"/>
      <c r="D100" s="14"/>
      <c r="E100" s="32"/>
      <c r="F100" s="32"/>
      <c r="G100" s="31"/>
      <c r="H100" s="6"/>
      <c r="I100" s="21"/>
      <c r="J100" s="59"/>
      <c r="K100" s="19"/>
      <c r="L100" s="22"/>
      <c r="M100" s="22"/>
    </row>
    <row r="101" spans="1:13" x14ac:dyDescent="0.2">
      <c r="A101" s="35"/>
      <c r="B101" s="6"/>
      <c r="C101" s="19"/>
      <c r="D101" s="14"/>
      <c r="E101" s="32"/>
      <c r="F101" s="32"/>
      <c r="G101" s="31"/>
      <c r="H101" s="6"/>
      <c r="I101" s="21"/>
      <c r="J101" s="59"/>
      <c r="K101" s="19"/>
      <c r="L101" s="22"/>
      <c r="M101" s="22"/>
    </row>
    <row r="102" spans="1:13" x14ac:dyDescent="0.2">
      <c r="A102" s="35"/>
      <c r="B102" s="6"/>
      <c r="C102" s="19"/>
      <c r="D102" s="14"/>
      <c r="E102" s="32"/>
      <c r="F102" s="32"/>
      <c r="G102" s="31"/>
      <c r="H102" s="6"/>
      <c r="I102" s="21"/>
      <c r="J102" s="59"/>
      <c r="K102" s="19"/>
      <c r="L102" s="22"/>
      <c r="M102" s="22"/>
    </row>
    <row r="103" spans="1:13" x14ac:dyDescent="0.2">
      <c r="A103" s="35"/>
      <c r="B103" s="6"/>
      <c r="C103" s="19"/>
      <c r="D103" s="14"/>
      <c r="E103" s="32"/>
      <c r="F103" s="32"/>
      <c r="G103" s="31"/>
      <c r="H103" s="6"/>
      <c r="I103" s="21"/>
      <c r="J103" s="59"/>
      <c r="K103" s="19"/>
      <c r="L103" s="22"/>
      <c r="M103" s="22"/>
    </row>
    <row r="104" spans="1:13" x14ac:dyDescent="0.2">
      <c r="A104" s="35"/>
      <c r="B104" s="6"/>
      <c r="C104" s="19"/>
      <c r="D104" s="14"/>
      <c r="E104" s="32"/>
      <c r="F104" s="32"/>
      <c r="G104" s="31"/>
      <c r="H104" s="6"/>
      <c r="I104" s="21"/>
      <c r="J104" s="59"/>
      <c r="K104" s="19"/>
      <c r="L104" s="22"/>
      <c r="M104" s="22"/>
    </row>
    <row r="105" spans="1:13" x14ac:dyDescent="0.2">
      <c r="A105" s="35"/>
      <c r="B105" s="6"/>
      <c r="C105" s="19"/>
      <c r="D105" s="14"/>
      <c r="E105" s="32"/>
      <c r="F105" s="32"/>
      <c r="G105" s="31"/>
      <c r="H105" s="6"/>
      <c r="I105" s="21"/>
      <c r="J105" s="59"/>
      <c r="K105" s="19"/>
      <c r="L105" s="22"/>
      <c r="M105" s="22"/>
    </row>
    <row r="106" spans="1:13" x14ac:dyDescent="0.2">
      <c r="A106" s="35"/>
      <c r="B106" s="6"/>
      <c r="C106" s="19"/>
      <c r="D106" s="14"/>
      <c r="E106" s="32"/>
      <c r="F106" s="32"/>
      <c r="G106" s="31"/>
      <c r="H106" s="6"/>
      <c r="I106" s="21"/>
      <c r="J106" s="59"/>
      <c r="K106" s="19"/>
      <c r="L106" s="22"/>
      <c r="M106" s="22"/>
    </row>
    <row r="107" spans="1:13" x14ac:dyDescent="0.2">
      <c r="A107" s="35"/>
      <c r="B107" s="6"/>
      <c r="C107" s="19"/>
      <c r="D107" s="14"/>
      <c r="E107" s="32"/>
      <c r="F107" s="32"/>
      <c r="G107" s="31"/>
      <c r="H107" s="6"/>
      <c r="I107" s="21"/>
      <c r="J107" s="59"/>
      <c r="K107" s="19"/>
      <c r="L107" s="22"/>
      <c r="M107" s="22"/>
    </row>
    <row r="108" spans="1:13" x14ac:dyDescent="0.2">
      <c r="A108" s="35"/>
      <c r="B108" s="6"/>
      <c r="C108" s="19"/>
      <c r="D108" s="14"/>
      <c r="E108" s="32"/>
      <c r="F108" s="32"/>
      <c r="G108" s="31"/>
      <c r="H108" s="6"/>
      <c r="I108" s="21"/>
      <c r="J108" s="59"/>
      <c r="K108" s="19"/>
      <c r="L108" s="22"/>
      <c r="M108" s="22"/>
    </row>
    <row r="109" spans="1:13" x14ac:dyDescent="0.2">
      <c r="A109" s="35"/>
      <c r="B109" s="6"/>
      <c r="C109" s="19"/>
      <c r="D109" s="14"/>
      <c r="E109" s="32"/>
      <c r="F109" s="32"/>
      <c r="G109" s="31"/>
      <c r="H109" s="6"/>
      <c r="I109" s="21"/>
      <c r="J109" s="59"/>
      <c r="K109" s="19"/>
      <c r="L109" s="22"/>
      <c r="M109" s="22"/>
    </row>
    <row r="110" spans="1:13" x14ac:dyDescent="0.2">
      <c r="A110" s="35"/>
      <c r="B110" s="6"/>
      <c r="C110" s="19"/>
      <c r="D110" s="14"/>
      <c r="E110" s="32"/>
      <c r="F110" s="32"/>
      <c r="G110" s="31"/>
      <c r="H110" s="6"/>
      <c r="I110" s="21"/>
      <c r="J110" s="59"/>
      <c r="K110" s="19"/>
      <c r="L110" s="22"/>
      <c r="M110" s="22"/>
    </row>
    <row r="111" spans="1:13" x14ac:dyDescent="0.2">
      <c r="A111" s="35"/>
      <c r="B111" s="6"/>
      <c r="C111" s="19"/>
      <c r="D111" s="14"/>
      <c r="E111" s="32"/>
      <c r="F111" s="32"/>
      <c r="G111" s="31"/>
      <c r="H111" s="6"/>
      <c r="I111" s="21"/>
      <c r="J111" s="59"/>
      <c r="K111" s="19"/>
      <c r="L111" s="22"/>
      <c r="M111" s="22"/>
    </row>
    <row r="112" spans="1:13" x14ac:dyDescent="0.2">
      <c r="A112" s="35"/>
      <c r="B112" s="6"/>
      <c r="C112" s="19"/>
      <c r="D112" s="14"/>
      <c r="E112" s="32"/>
      <c r="F112" s="32"/>
      <c r="G112" s="31"/>
      <c r="H112" s="6"/>
      <c r="I112" s="21"/>
      <c r="J112" s="59"/>
      <c r="K112" s="19"/>
      <c r="L112" s="22"/>
      <c r="M112" s="22"/>
    </row>
    <row r="113" spans="1:13" x14ac:dyDescent="0.2">
      <c r="A113" s="35"/>
      <c r="B113" s="6"/>
      <c r="C113" s="19"/>
      <c r="D113" s="14"/>
      <c r="E113" s="32"/>
      <c r="F113" s="32"/>
      <c r="G113" s="31"/>
      <c r="H113" s="6"/>
      <c r="I113" s="21"/>
      <c r="J113" s="59"/>
      <c r="K113" s="19"/>
      <c r="L113" s="22"/>
      <c r="M113" s="22"/>
    </row>
    <row r="114" spans="1:13" x14ac:dyDescent="0.2">
      <c r="A114" s="35"/>
      <c r="B114" s="6"/>
      <c r="C114" s="19"/>
      <c r="D114" s="14"/>
      <c r="E114" s="32"/>
      <c r="F114" s="32"/>
      <c r="G114" s="31"/>
      <c r="H114" s="6"/>
      <c r="I114" s="21"/>
      <c r="J114" s="59"/>
      <c r="K114" s="19"/>
      <c r="L114" s="22"/>
      <c r="M114" s="22"/>
    </row>
    <row r="115" spans="1:13" x14ac:dyDescent="0.2">
      <c r="A115" s="35"/>
      <c r="B115" s="6"/>
      <c r="C115" s="19"/>
      <c r="D115" s="14"/>
      <c r="E115" s="32"/>
      <c r="F115" s="32"/>
      <c r="G115" s="31"/>
      <c r="H115" s="6"/>
      <c r="I115" s="21"/>
      <c r="J115" s="59"/>
      <c r="K115" s="19"/>
      <c r="L115" s="22"/>
      <c r="M115" s="22"/>
    </row>
    <row r="116" spans="1:13" x14ac:dyDescent="0.2">
      <c r="A116" s="35"/>
      <c r="B116" s="6"/>
      <c r="C116" s="19"/>
      <c r="D116" s="14"/>
      <c r="E116" s="32"/>
      <c r="F116" s="32"/>
      <c r="G116" s="31"/>
      <c r="H116" s="6"/>
      <c r="I116" s="21"/>
      <c r="J116" s="59"/>
      <c r="K116" s="19"/>
      <c r="L116" s="22"/>
      <c r="M116" s="22"/>
    </row>
    <row r="117" spans="1:13" x14ac:dyDescent="0.2">
      <c r="A117" s="35"/>
      <c r="B117" s="6"/>
      <c r="C117" s="19"/>
      <c r="D117" s="14"/>
      <c r="E117" s="32"/>
      <c r="F117" s="32"/>
      <c r="G117" s="31"/>
      <c r="H117" s="6"/>
      <c r="I117" s="21"/>
      <c r="J117" s="59"/>
      <c r="K117" s="19"/>
      <c r="L117" s="22"/>
      <c r="M117" s="22"/>
    </row>
    <row r="118" spans="1:13" x14ac:dyDescent="0.2">
      <c r="A118" s="35"/>
      <c r="B118" s="6"/>
      <c r="C118" s="19"/>
      <c r="D118" s="14"/>
      <c r="E118" s="32"/>
      <c r="F118" s="32"/>
      <c r="G118" s="31"/>
      <c r="H118" s="6"/>
      <c r="I118" s="21"/>
      <c r="J118" s="59"/>
      <c r="K118" s="19"/>
      <c r="L118" s="22"/>
      <c r="M118" s="22"/>
    </row>
    <row r="119" spans="1:13" x14ac:dyDescent="0.2">
      <c r="A119" s="35"/>
      <c r="B119" s="6"/>
      <c r="C119" s="19"/>
      <c r="D119" s="14"/>
      <c r="E119" s="32"/>
      <c r="F119" s="32"/>
      <c r="G119" s="31"/>
      <c r="H119" s="6"/>
      <c r="I119" s="21"/>
      <c r="J119" s="59"/>
      <c r="K119" s="19"/>
      <c r="L119" s="22"/>
      <c r="M119" s="22"/>
    </row>
    <row r="120" spans="1:13" x14ac:dyDescent="0.2">
      <c r="A120" s="35"/>
      <c r="B120" s="6"/>
      <c r="C120" s="19"/>
      <c r="D120" s="14"/>
      <c r="E120" s="32"/>
      <c r="F120" s="32"/>
      <c r="G120" s="31"/>
      <c r="H120" s="6"/>
      <c r="I120" s="21"/>
      <c r="J120" s="59"/>
      <c r="K120" s="19"/>
      <c r="L120" s="22"/>
      <c r="M120" s="22"/>
    </row>
    <row r="121" spans="1:13" x14ac:dyDescent="0.2">
      <c r="A121" s="35"/>
      <c r="B121" s="6"/>
      <c r="C121" s="19"/>
      <c r="D121" s="14"/>
      <c r="E121" s="32"/>
      <c r="F121" s="32"/>
      <c r="G121" s="31"/>
      <c r="H121" s="6"/>
      <c r="I121" s="21"/>
      <c r="J121" s="59"/>
      <c r="K121" s="19"/>
      <c r="L121" s="22"/>
      <c r="M121" s="22"/>
    </row>
    <row r="122" spans="1:13" x14ac:dyDescent="0.2">
      <c r="A122" s="35"/>
      <c r="B122" s="6"/>
      <c r="C122" s="19"/>
      <c r="D122" s="14"/>
      <c r="E122" s="32"/>
      <c r="F122" s="32"/>
      <c r="G122" s="31"/>
      <c r="H122" s="6"/>
      <c r="I122" s="21"/>
      <c r="J122" s="59"/>
      <c r="K122" s="19"/>
      <c r="L122" s="22"/>
      <c r="M122" s="22"/>
    </row>
    <row r="123" spans="1:13" x14ac:dyDescent="0.2">
      <c r="A123" s="35"/>
      <c r="B123" s="6"/>
      <c r="C123" s="19"/>
      <c r="D123" s="14"/>
      <c r="E123" s="32"/>
      <c r="F123" s="32"/>
      <c r="G123" s="31"/>
      <c r="H123" s="6"/>
      <c r="I123" s="21"/>
      <c r="J123" s="59"/>
      <c r="K123" s="19"/>
      <c r="L123" s="22"/>
      <c r="M123" s="22"/>
    </row>
    <row r="124" spans="1:13" x14ac:dyDescent="0.2">
      <c r="A124" s="35"/>
      <c r="B124" s="6"/>
      <c r="C124" s="19"/>
      <c r="D124" s="14"/>
      <c r="E124" s="32"/>
      <c r="F124" s="32"/>
      <c r="G124" s="31"/>
      <c r="H124" s="6"/>
      <c r="I124" s="21"/>
      <c r="J124" s="59"/>
      <c r="K124" s="19"/>
      <c r="L124" s="22"/>
      <c r="M124" s="22"/>
    </row>
    <row r="125" spans="1:13" x14ac:dyDescent="0.2">
      <c r="A125" s="35"/>
      <c r="B125" s="6"/>
      <c r="C125" s="19"/>
      <c r="D125" s="14"/>
      <c r="E125" s="32"/>
      <c r="F125" s="32"/>
      <c r="G125" s="31"/>
      <c r="H125" s="6"/>
      <c r="I125" s="21"/>
      <c r="J125" s="59"/>
      <c r="K125" s="19"/>
      <c r="L125" s="22"/>
      <c r="M125" s="22"/>
    </row>
    <row r="126" spans="1:13" x14ac:dyDescent="0.2">
      <c r="A126" s="35"/>
      <c r="B126" s="6"/>
      <c r="C126" s="19"/>
      <c r="D126" s="14"/>
      <c r="E126" s="32"/>
      <c r="F126" s="32"/>
      <c r="G126" s="31"/>
      <c r="H126" s="6"/>
      <c r="I126" s="21"/>
      <c r="J126" s="59"/>
      <c r="K126" s="19"/>
      <c r="L126" s="22"/>
      <c r="M126" s="22"/>
    </row>
    <row r="127" spans="1:13" x14ac:dyDescent="0.2">
      <c r="A127" s="35"/>
      <c r="B127" s="6"/>
      <c r="C127" s="19"/>
      <c r="D127" s="14"/>
      <c r="E127" s="32"/>
      <c r="F127" s="32"/>
      <c r="G127" s="31"/>
      <c r="H127" s="6"/>
      <c r="I127" s="21"/>
      <c r="J127" s="59"/>
      <c r="K127" s="19"/>
      <c r="L127" s="22"/>
      <c r="M127" s="22"/>
    </row>
    <row r="128" spans="1:13" x14ac:dyDescent="0.2">
      <c r="A128" s="35"/>
      <c r="B128" s="6"/>
      <c r="C128" s="19"/>
      <c r="D128" s="14"/>
      <c r="E128" s="32"/>
      <c r="F128" s="32"/>
      <c r="G128" s="31"/>
      <c r="H128" s="6"/>
      <c r="I128" s="21"/>
      <c r="J128" s="59"/>
      <c r="K128" s="19"/>
      <c r="L128" s="22"/>
      <c r="M128" s="22"/>
    </row>
    <row r="129" spans="1:13" x14ac:dyDescent="0.2">
      <c r="A129" s="35"/>
      <c r="B129" s="6"/>
      <c r="C129" s="19"/>
      <c r="D129" s="14"/>
      <c r="E129" s="32"/>
      <c r="F129" s="32"/>
      <c r="G129" s="31"/>
      <c r="H129" s="6"/>
      <c r="I129" s="21"/>
      <c r="J129" s="59"/>
      <c r="K129" s="19"/>
      <c r="L129" s="22"/>
      <c r="M129" s="22"/>
    </row>
    <row r="130" spans="1:13" x14ac:dyDescent="0.2">
      <c r="A130" s="35"/>
      <c r="B130" s="6"/>
      <c r="C130" s="19"/>
      <c r="D130" s="14"/>
      <c r="E130" s="32"/>
      <c r="F130" s="32"/>
      <c r="G130" s="31"/>
      <c r="H130" s="6"/>
      <c r="I130" s="21"/>
      <c r="J130" s="59"/>
      <c r="K130" s="19"/>
      <c r="L130" s="22"/>
      <c r="M130" s="22"/>
    </row>
    <row r="131" spans="1:13" x14ac:dyDescent="0.2">
      <c r="A131" s="35"/>
      <c r="B131" s="6"/>
      <c r="C131" s="19"/>
      <c r="D131" s="14"/>
      <c r="E131" s="32"/>
      <c r="F131" s="32"/>
      <c r="G131" s="31"/>
      <c r="H131" s="6"/>
      <c r="I131" s="21"/>
      <c r="J131" s="59"/>
      <c r="K131" s="19"/>
      <c r="L131" s="22"/>
      <c r="M131" s="22"/>
    </row>
    <row r="132" spans="1:13" x14ac:dyDescent="0.2">
      <c r="A132" s="35"/>
      <c r="B132" s="6"/>
      <c r="C132" s="19"/>
      <c r="D132" s="14"/>
      <c r="E132" s="32"/>
      <c r="F132" s="32"/>
      <c r="G132" s="31"/>
      <c r="H132" s="6"/>
      <c r="I132" s="21"/>
      <c r="J132" s="59"/>
      <c r="K132" s="19"/>
      <c r="L132" s="22"/>
      <c r="M132" s="22"/>
    </row>
    <row r="133" spans="1:13" x14ac:dyDescent="0.2">
      <c r="A133" s="35"/>
      <c r="B133" s="6"/>
      <c r="C133" s="19"/>
      <c r="D133" s="14"/>
      <c r="E133" s="32"/>
      <c r="F133" s="32"/>
      <c r="G133" s="31"/>
      <c r="H133" s="6"/>
      <c r="I133" s="21"/>
      <c r="J133" s="59"/>
      <c r="K133" s="19"/>
      <c r="L133" s="22"/>
      <c r="M133" s="22"/>
    </row>
    <row r="134" spans="1:13" x14ac:dyDescent="0.2">
      <c r="A134" s="35"/>
      <c r="B134" s="6"/>
      <c r="C134" s="19"/>
      <c r="D134" s="14"/>
      <c r="E134" s="32"/>
      <c r="F134" s="32"/>
      <c r="G134" s="31"/>
      <c r="H134" s="6"/>
      <c r="I134" s="21"/>
      <c r="J134" s="59"/>
      <c r="K134" s="19"/>
      <c r="L134" s="22"/>
      <c r="M134" s="22"/>
    </row>
    <row r="135" spans="1:13" x14ac:dyDescent="0.2">
      <c r="A135" s="35"/>
      <c r="B135" s="6"/>
      <c r="C135" s="19"/>
      <c r="D135" s="14"/>
      <c r="E135" s="32"/>
      <c r="F135" s="32"/>
      <c r="G135" s="31"/>
      <c r="H135" s="6"/>
      <c r="I135" s="21"/>
      <c r="J135" s="59"/>
      <c r="K135" s="19"/>
      <c r="L135" s="22"/>
      <c r="M135" s="22"/>
    </row>
    <row r="136" spans="1:13" x14ac:dyDescent="0.2">
      <c r="A136" s="35"/>
      <c r="B136" s="6"/>
      <c r="C136" s="19"/>
      <c r="D136" s="14"/>
      <c r="E136" s="32"/>
      <c r="F136" s="32"/>
      <c r="G136" s="31"/>
      <c r="H136" s="6"/>
      <c r="I136" s="21"/>
      <c r="J136" s="59"/>
      <c r="K136" s="19"/>
      <c r="L136" s="22"/>
      <c r="M136" s="22"/>
    </row>
    <row r="137" spans="1:13" x14ac:dyDescent="0.2">
      <c r="A137" s="35"/>
      <c r="B137" s="6"/>
      <c r="C137" s="19"/>
      <c r="D137" s="14"/>
      <c r="E137" s="32"/>
      <c r="F137" s="32"/>
      <c r="G137" s="31"/>
      <c r="H137" s="6"/>
      <c r="I137" s="21"/>
      <c r="J137" s="59"/>
      <c r="K137" s="19"/>
      <c r="L137" s="22"/>
      <c r="M137" s="22"/>
    </row>
    <row r="138" spans="1:13" x14ac:dyDescent="0.2">
      <c r="A138" s="35"/>
      <c r="B138" s="6"/>
      <c r="C138" s="19"/>
      <c r="D138" s="14"/>
      <c r="E138" s="32"/>
      <c r="F138" s="32"/>
      <c r="G138" s="31"/>
      <c r="H138" s="6"/>
      <c r="I138" s="21"/>
      <c r="J138" s="59"/>
      <c r="K138" s="19"/>
      <c r="L138" s="22"/>
      <c r="M138" s="22"/>
    </row>
  </sheetData>
  <mergeCells count="3">
    <mergeCell ref="G1:G2"/>
    <mergeCell ref="A10:M10"/>
    <mergeCell ref="A12:K12"/>
  </mergeCells>
  <phoneticPr fontId="1" type="noConversion"/>
  <conditionalFormatting sqref="K11:K12">
    <cfRule type="dataBar" priority="1">
      <dataBar>
        <cfvo type="num" val="0"/>
        <cfvo type="num" val="1"/>
        <color theme="5"/>
      </dataBar>
      <extLst>
        <ext xmlns:x14="http://schemas.microsoft.com/office/spreadsheetml/2009/9/main" uri="{B025F937-C7B1-47D3-B67F-A62EFF666E3E}">
          <x14:id>{356488D5-3F44-7040-8E89-FCC96A8C1BB6}</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56488D5-3F44-7040-8E89-FCC96A8C1BB6}">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K11:K12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2B07730-1747-B34D-B603-07EF5292C4F8}">
          <x14:formula1>
            <xm:f>Dropdowns!$K$2:$K$6</xm:f>
          </x14:formula1>
          <xm:sqref>J35:J138 J4:J7 J9 J13:J33</xm:sqref>
        </x14:dataValidation>
        <x14:dataValidation type="list" allowBlank="1" showInputMessage="1" showErrorMessage="1" xr:uid="{F3CC449A-6C7A-D543-9ED6-D432A7A3D523}">
          <x14:formula1>
            <xm:f>Dropdowns!$C$2:$C$8</xm:f>
          </x14:formula1>
          <xm:sqref>B4:B7 B9 B13:B138</xm:sqref>
        </x14:dataValidation>
        <x14:dataValidation type="list" allowBlank="1" showInputMessage="1" showErrorMessage="1" xr:uid="{94E3A978-CD29-724F-AE3A-B3ECC10C3099}">
          <x14:formula1>
            <xm:f>Dropdowns!$I$2:$I$15</xm:f>
          </x14:formula1>
          <xm:sqref>H4:H7 H9 H13:H138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518B-6583-5D44-A5C2-2BF6EEB34D3A}">
  <dimension ref="A1:M17"/>
  <sheetViews>
    <sheetView showGridLines="0" topLeftCell="B5" zoomScale="120" zoomScaleNormal="120" workbookViewId="0">
      <selection activeCell="K4" sqref="K4:K12"/>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4.33203125" bestFit="1" customWidth="1"/>
    <col min="6" max="6" width="14.1640625" bestFit="1" customWidth="1"/>
    <col min="7" max="7" width="15.33203125" bestFit="1" customWidth="1"/>
    <col min="9" max="9" width="30.6640625" customWidth="1"/>
    <col min="10" max="10" width="16" customWidth="1"/>
    <col min="11" max="11" width="51.83203125" customWidth="1"/>
    <col min="12" max="12" width="25.5" bestFit="1" customWidth="1"/>
    <col min="13" max="13" width="25.33203125" bestFit="1" customWidth="1"/>
  </cols>
  <sheetData>
    <row r="1" spans="1:13" x14ac:dyDescent="0.2">
      <c r="E1" s="68" t="s">
        <v>255</v>
      </c>
      <c r="G1" s="126">
        <v>17.05</v>
      </c>
    </row>
    <row r="2" spans="1:13" ht="16" thickBot="1" x14ac:dyDescent="0.25">
      <c r="E2" s="67">
        <v>1.0900000000000001</v>
      </c>
      <c r="G2" s="127"/>
    </row>
    <row r="3" spans="1:13" ht="16" x14ac:dyDescent="0.2">
      <c r="A3" s="60" t="s">
        <v>183</v>
      </c>
      <c r="B3" s="61" t="s">
        <v>152</v>
      </c>
      <c r="C3" s="62" t="s">
        <v>117</v>
      </c>
      <c r="D3" t="s">
        <v>526</v>
      </c>
      <c r="E3" s="52" t="s">
        <v>256</v>
      </c>
      <c r="F3" s="60" t="s">
        <v>332</v>
      </c>
      <c r="G3" s="60" t="s">
        <v>70</v>
      </c>
      <c r="H3" s="60" t="s">
        <v>154</v>
      </c>
      <c r="I3" t="s">
        <v>527</v>
      </c>
      <c r="J3" s="63" t="s">
        <v>116</v>
      </c>
      <c r="K3" s="1" t="s">
        <v>428</v>
      </c>
      <c r="L3" s="64" t="s">
        <v>113</v>
      </c>
      <c r="M3" s="64" t="s">
        <v>112</v>
      </c>
    </row>
    <row r="4" spans="1:13" s="35" customFormat="1" ht="64" x14ac:dyDescent="0.2">
      <c r="A4" s="85" t="s">
        <v>192</v>
      </c>
      <c r="B4" s="85" t="s">
        <v>96</v>
      </c>
      <c r="C4" s="82" t="s">
        <v>41</v>
      </c>
      <c r="D4" s="81" t="s">
        <v>71</v>
      </c>
      <c r="E4" s="88">
        <f>Table10[[#This Row],[CHF: Amount]]*$E$2</f>
        <v>1090000</v>
      </c>
      <c r="F4" s="104">
        <v>1000000</v>
      </c>
      <c r="G4" s="99">
        <f>Table10[[#This Row],[Total US$ ]]*$G$1</f>
        <v>18584500</v>
      </c>
      <c r="H4" s="85" t="s">
        <v>190</v>
      </c>
      <c r="I4" s="96" t="s">
        <v>579</v>
      </c>
      <c r="J4" s="109" t="s">
        <v>329</v>
      </c>
      <c r="K4" s="82" t="s">
        <v>520</v>
      </c>
      <c r="L4" s="112">
        <v>44501</v>
      </c>
      <c r="M4" s="112">
        <v>45657</v>
      </c>
    </row>
    <row r="5" spans="1:13" s="35" customFormat="1" ht="64" x14ac:dyDescent="0.2">
      <c r="A5" s="85" t="s">
        <v>193</v>
      </c>
      <c r="B5" s="85" t="s">
        <v>96</v>
      </c>
      <c r="C5" s="82" t="s">
        <v>333</v>
      </c>
      <c r="D5" s="81" t="s">
        <v>72</v>
      </c>
      <c r="E5" s="88">
        <f>Table10[[#This Row],[CHF: Amount]]*$E$2</f>
        <v>2435834.2051999997</v>
      </c>
      <c r="F5" s="104">
        <v>2234710.2799999998</v>
      </c>
      <c r="G5" s="99">
        <f>Table10[[#This Row],[Total US$ ]]*$G$1</f>
        <v>41530973.198659994</v>
      </c>
      <c r="H5" s="85" t="s">
        <v>190</v>
      </c>
      <c r="I5" s="96" t="s">
        <v>580</v>
      </c>
      <c r="J5" s="109" t="s">
        <v>329</v>
      </c>
      <c r="K5" s="82" t="s">
        <v>521</v>
      </c>
      <c r="L5" s="112">
        <v>44501</v>
      </c>
      <c r="M5" s="112">
        <v>45657</v>
      </c>
    </row>
    <row r="6" spans="1:13" s="35" customFormat="1" ht="96" x14ac:dyDescent="0.2">
      <c r="A6" s="85" t="s">
        <v>194</v>
      </c>
      <c r="B6" s="85" t="s">
        <v>96</v>
      </c>
      <c r="C6" s="82" t="s">
        <v>41</v>
      </c>
      <c r="D6" s="81" t="s">
        <v>167</v>
      </c>
      <c r="E6" s="88">
        <f>Table10[[#This Row],[CHF: Amount]]*$E$2</f>
        <v>7640900.0000000009</v>
      </c>
      <c r="F6" s="104">
        <v>7010000</v>
      </c>
      <c r="G6" s="99">
        <f>Table10[[#This Row],[Total US$ ]]*$G$1</f>
        <v>130277345.00000001</v>
      </c>
      <c r="H6" s="85" t="s">
        <v>190</v>
      </c>
      <c r="I6" s="96" t="s">
        <v>581</v>
      </c>
      <c r="J6" s="109" t="s">
        <v>329</v>
      </c>
      <c r="K6" s="82" t="s">
        <v>522</v>
      </c>
      <c r="L6" s="112">
        <v>44501</v>
      </c>
      <c r="M6" s="112">
        <v>45657</v>
      </c>
    </row>
    <row r="7" spans="1:13" s="35" customFormat="1" ht="64" x14ac:dyDescent="0.2">
      <c r="A7" s="85" t="s">
        <v>195</v>
      </c>
      <c r="B7" s="85" t="s">
        <v>128</v>
      </c>
      <c r="C7" s="82" t="s">
        <v>334</v>
      </c>
      <c r="D7" s="81" t="s">
        <v>6</v>
      </c>
      <c r="E7" s="88">
        <f>Table10[[#This Row],[CHF: Amount]]*$E$2</f>
        <v>5395500</v>
      </c>
      <c r="F7" s="104">
        <v>4950000</v>
      </c>
      <c r="G7" s="99">
        <f>Table10[[#This Row],[Total US$ ]]*$G$1</f>
        <v>91993275</v>
      </c>
      <c r="H7" s="85" t="s">
        <v>190</v>
      </c>
      <c r="I7" s="96" t="s">
        <v>104</v>
      </c>
      <c r="J7" s="109" t="s">
        <v>329</v>
      </c>
      <c r="K7" s="82" t="s">
        <v>523</v>
      </c>
      <c r="L7" s="112">
        <v>44713</v>
      </c>
      <c r="M7" s="112">
        <v>45808</v>
      </c>
    </row>
    <row r="8" spans="1:13" s="35" customFormat="1" ht="64" x14ac:dyDescent="0.2">
      <c r="A8" s="85" t="s">
        <v>196</v>
      </c>
      <c r="B8" s="85" t="s">
        <v>125</v>
      </c>
      <c r="C8" s="82" t="s">
        <v>335</v>
      </c>
      <c r="D8" s="82" t="s">
        <v>6</v>
      </c>
      <c r="E8" s="88">
        <f>Table10[[#This Row],[CHF: Amount]]*$E$2</f>
        <v>1090000</v>
      </c>
      <c r="F8" s="104">
        <v>1000000</v>
      </c>
      <c r="G8" s="99">
        <f>Table10[[#This Row],[Total US$ ]]*$G$1</f>
        <v>18584500</v>
      </c>
      <c r="H8" s="85" t="s">
        <v>190</v>
      </c>
      <c r="I8" s="96" t="s">
        <v>582</v>
      </c>
      <c r="J8" s="109" t="s">
        <v>329</v>
      </c>
      <c r="K8" s="117" t="s">
        <v>614</v>
      </c>
      <c r="L8" s="113">
        <v>44562</v>
      </c>
      <c r="M8" s="113">
        <v>45930</v>
      </c>
    </row>
    <row r="9" spans="1:13" s="35" customFormat="1" ht="80" x14ac:dyDescent="0.2">
      <c r="A9" s="85" t="s">
        <v>244</v>
      </c>
      <c r="B9" s="82" t="s">
        <v>96</v>
      </c>
      <c r="C9" s="82" t="s">
        <v>83</v>
      </c>
      <c r="D9" s="81" t="s">
        <v>3</v>
      </c>
      <c r="E9" s="88">
        <f>Table10[[#This Row],[CHF: Amount]]*$E$2</f>
        <v>8834450</v>
      </c>
      <c r="F9" s="104">
        <v>8105000</v>
      </c>
      <c r="G9" s="99">
        <f>Table10[[#This Row],[Total US$ ]]*$G$1</f>
        <v>150627372.5</v>
      </c>
      <c r="H9" s="85" t="s">
        <v>190</v>
      </c>
      <c r="I9" s="96" t="s">
        <v>583</v>
      </c>
      <c r="J9" s="109" t="s">
        <v>329</v>
      </c>
      <c r="K9" s="82" t="s">
        <v>615</v>
      </c>
      <c r="L9" s="112">
        <v>44501</v>
      </c>
      <c r="M9" s="112">
        <v>45656</v>
      </c>
    </row>
    <row r="10" spans="1:13" ht="48" x14ac:dyDescent="0.2">
      <c r="A10" s="85" t="s">
        <v>245</v>
      </c>
      <c r="B10" s="82" t="s">
        <v>125</v>
      </c>
      <c r="C10" s="82" t="s">
        <v>84</v>
      </c>
      <c r="D10" s="82" t="s">
        <v>86</v>
      </c>
      <c r="E10" s="88">
        <f>Table10[[#This Row],[CHF: Amount]]*$E$2</f>
        <v>1090000</v>
      </c>
      <c r="F10" s="104">
        <v>1000000</v>
      </c>
      <c r="G10" s="99">
        <f>Table10[[#This Row],[Total US$ ]]*$G$1</f>
        <v>18584500</v>
      </c>
      <c r="H10" s="85" t="s">
        <v>190</v>
      </c>
      <c r="I10" s="96" t="s">
        <v>584</v>
      </c>
      <c r="J10" s="109" t="s">
        <v>329</v>
      </c>
      <c r="K10" s="82" t="s">
        <v>524</v>
      </c>
      <c r="L10" s="112">
        <v>44501</v>
      </c>
      <c r="M10" s="111">
        <v>45290</v>
      </c>
    </row>
    <row r="11" spans="1:13" s="35" customFormat="1" ht="112" x14ac:dyDescent="0.2">
      <c r="A11" s="85" t="s">
        <v>246</v>
      </c>
      <c r="B11" s="82" t="s">
        <v>125</v>
      </c>
      <c r="C11" s="82" t="s">
        <v>85</v>
      </c>
      <c r="D11" s="82" t="s">
        <v>66</v>
      </c>
      <c r="E11" s="88">
        <f>Table10[[#This Row],[CHF: Amount]]*$E$2</f>
        <v>3597000.0000000005</v>
      </c>
      <c r="F11" s="104">
        <v>3300000</v>
      </c>
      <c r="G11" s="99">
        <f>Table10[[#This Row],[Total US$ ]]*$G$1</f>
        <v>61328850.000000007</v>
      </c>
      <c r="H11" s="85" t="s">
        <v>190</v>
      </c>
      <c r="I11" s="96" t="s">
        <v>585</v>
      </c>
      <c r="J11" s="109" t="s">
        <v>329</v>
      </c>
      <c r="K11" s="82" t="s">
        <v>525</v>
      </c>
      <c r="L11" s="112">
        <v>44501</v>
      </c>
      <c r="M11" s="111">
        <v>46386</v>
      </c>
    </row>
    <row r="12" spans="1:13" ht="64" x14ac:dyDescent="0.2">
      <c r="A12" s="85" t="s">
        <v>331</v>
      </c>
      <c r="B12" s="85" t="s">
        <v>96</v>
      </c>
      <c r="C12" s="82" t="s">
        <v>336</v>
      </c>
      <c r="D12" s="82" t="s">
        <v>66</v>
      </c>
      <c r="E12" s="88">
        <f>Table10[[#This Row],[CHF: Amount]]*$E$2</f>
        <v>3270000.0000000005</v>
      </c>
      <c r="F12" s="104">
        <v>3000000</v>
      </c>
      <c r="G12" s="99">
        <f>Table10[[#This Row],[Total US$ ]]*$G$1</f>
        <v>55753500.000000007</v>
      </c>
      <c r="H12" s="85" t="s">
        <v>190</v>
      </c>
      <c r="I12" s="96" t="s">
        <v>586</v>
      </c>
      <c r="J12" s="109" t="s">
        <v>329</v>
      </c>
      <c r="K12" s="82" t="s">
        <v>616</v>
      </c>
      <c r="L12" s="112">
        <v>44501</v>
      </c>
      <c r="M12" s="111">
        <v>45291</v>
      </c>
    </row>
    <row r="13" spans="1:13" x14ac:dyDescent="0.2">
      <c r="B13" s="1"/>
      <c r="C13" s="1"/>
      <c r="E13" s="105">
        <f>SUBTOTAL(109,Table10[Total US$ ])</f>
        <v>34443684.205200002</v>
      </c>
      <c r="F13" s="106">
        <f>SUBTOTAL(109,Table10[CHF: Amount])</f>
        <v>31599710.280000001</v>
      </c>
      <c r="G13" s="79">
        <f>SUBTOTAL(109,Table10[Total ZAR])</f>
        <v>587264815.69866002</v>
      </c>
      <c r="H13" s="1"/>
      <c r="I13" s="1"/>
      <c r="J13" s="1"/>
      <c r="K13" s="4"/>
      <c r="L13" s="1"/>
      <c r="M13" s="1"/>
    </row>
    <row r="15" spans="1:13" ht="30" customHeight="1" x14ac:dyDescent="0.2">
      <c r="A15" s="130" t="s">
        <v>589</v>
      </c>
      <c r="B15" s="130"/>
      <c r="C15" s="130"/>
      <c r="D15" s="130"/>
      <c r="E15" s="130"/>
      <c r="F15" s="130"/>
      <c r="G15" s="130"/>
      <c r="H15" s="130"/>
      <c r="I15" s="130"/>
      <c r="J15" s="130"/>
      <c r="K15" s="130"/>
      <c r="L15" s="130"/>
      <c r="M15" s="130"/>
    </row>
    <row r="16" spans="1:13" x14ac:dyDescent="0.2">
      <c r="B16" s="1"/>
      <c r="F16" s="1"/>
      <c r="G16" s="1"/>
      <c r="H16" s="8"/>
      <c r="I16" s="1"/>
      <c r="J16" s="3"/>
      <c r="L16" s="18"/>
      <c r="M16" s="18"/>
    </row>
    <row r="17" spans="1:13" x14ac:dyDescent="0.2">
      <c r="A17" s="125" t="s">
        <v>590</v>
      </c>
      <c r="B17" s="125"/>
      <c r="C17" s="125"/>
      <c r="D17" s="125"/>
      <c r="E17" s="125"/>
      <c r="F17" s="125"/>
      <c r="G17" s="125"/>
      <c r="H17" s="125"/>
      <c r="I17" s="125"/>
      <c r="J17" s="125"/>
      <c r="K17" s="125"/>
      <c r="L17" s="15"/>
      <c r="M17" s="18"/>
    </row>
  </sheetData>
  <mergeCells count="3">
    <mergeCell ref="G1:G2"/>
    <mergeCell ref="A15:M15"/>
    <mergeCell ref="A17:K17"/>
  </mergeCells>
  <phoneticPr fontId="1" type="noConversion"/>
  <conditionalFormatting sqref="K16:K17">
    <cfRule type="dataBar" priority="1">
      <dataBar>
        <cfvo type="num" val="0"/>
        <cfvo type="num" val="1"/>
        <color theme="5"/>
      </dataBar>
      <extLst>
        <ext xmlns:x14="http://schemas.microsoft.com/office/spreadsheetml/2009/9/main" uri="{B025F937-C7B1-47D3-B67F-A62EFF666E3E}">
          <x14:id>{661AD4F0-3CF4-494B-AD3A-33DD929FFF9E}</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61AD4F0-3CF4-494B-AD3A-33DD929FFF9E}">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K16:K17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3FDF0AF-6010-424B-A14C-75EC645F501E}">
          <x14:formula1>
            <xm:f>Dropdowns!$I$2:$I$15</xm:f>
          </x14:formula1>
          <xm:sqref>H4:H9 H11:H12</xm:sqref>
        </x14:dataValidation>
        <x14:dataValidation type="list" allowBlank="1" showInputMessage="1" showErrorMessage="1" xr:uid="{9FAD1D5C-B5E2-4946-BC13-57CA93A358B2}">
          <x14:formula1>
            <xm:f>Dropdowns!$C$2:$C$8</xm:f>
          </x14:formula1>
          <xm:sqref>B4:B9 B11:B12</xm:sqref>
        </x14:dataValidation>
        <x14:dataValidation type="list" allowBlank="1" showInputMessage="1" showErrorMessage="1" xr:uid="{F333F588-B6BE-3E4A-8C53-D01207D872AF}">
          <x14:formula1>
            <xm:f>Dropdowns!$K$2:$K$6</xm:f>
          </x14:formula1>
          <xm:sqref>J4:J12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CB1C7-D18B-9941-8536-4C67A637E8A8}">
  <dimension ref="A1:M15"/>
  <sheetViews>
    <sheetView topLeftCell="B1" workbookViewId="0">
      <selection activeCell="I4" sqref="I4"/>
    </sheetView>
  </sheetViews>
  <sheetFormatPr baseColWidth="10" defaultRowHeight="15" x14ac:dyDescent="0.2"/>
  <cols>
    <col min="1" max="1" width="31.83203125" hidden="1" customWidth="1"/>
    <col min="3" max="3" width="19.83203125" bestFit="1" customWidth="1"/>
    <col min="5" max="5" width="32.33203125" bestFit="1" customWidth="1"/>
    <col min="7" max="7" width="13.33203125" bestFit="1" customWidth="1"/>
    <col min="9" max="9" width="13.33203125" bestFit="1" customWidth="1"/>
    <col min="11" max="11" width="23.1640625" bestFit="1" customWidth="1"/>
  </cols>
  <sheetData>
    <row r="1" spans="1:13" x14ac:dyDescent="0.2">
      <c r="A1" s="10" t="s">
        <v>118</v>
      </c>
      <c r="C1" t="s">
        <v>118</v>
      </c>
      <c r="E1" t="s">
        <v>151</v>
      </c>
      <c r="G1" t="s">
        <v>153</v>
      </c>
      <c r="I1" t="s">
        <v>154</v>
      </c>
      <c r="K1" t="s">
        <v>148</v>
      </c>
    </row>
    <row r="2" spans="1:13" x14ac:dyDescent="0.2">
      <c r="A2" s="11" t="s">
        <v>119</v>
      </c>
      <c r="C2" s="11" t="s">
        <v>125</v>
      </c>
      <c r="E2" s="11" t="s">
        <v>133</v>
      </c>
      <c r="G2" s="11" t="s">
        <v>403</v>
      </c>
      <c r="I2" s="11" t="s">
        <v>600</v>
      </c>
      <c r="K2" t="s">
        <v>337</v>
      </c>
      <c r="M2" s="74"/>
    </row>
    <row r="3" spans="1:13" x14ac:dyDescent="0.2">
      <c r="A3" s="11" t="s">
        <v>120</v>
      </c>
      <c r="C3" s="11" t="s">
        <v>156</v>
      </c>
      <c r="E3" s="11" t="s">
        <v>132</v>
      </c>
      <c r="G3" s="11" t="s">
        <v>408</v>
      </c>
      <c r="I3" s="11" t="s">
        <v>601</v>
      </c>
      <c r="K3" t="s">
        <v>338</v>
      </c>
    </row>
    <row r="4" spans="1:13" x14ac:dyDescent="0.2">
      <c r="A4" s="11" t="s">
        <v>121</v>
      </c>
      <c r="C4" s="11" t="s">
        <v>126</v>
      </c>
      <c r="E4" s="11" t="s">
        <v>134</v>
      </c>
      <c r="G4" s="11" t="s">
        <v>138</v>
      </c>
      <c r="I4" s="11" t="s">
        <v>140</v>
      </c>
      <c r="K4" t="s">
        <v>327</v>
      </c>
    </row>
    <row r="5" spans="1:13" x14ac:dyDescent="0.2">
      <c r="A5" s="11" t="s">
        <v>7</v>
      </c>
      <c r="C5" s="11" t="s">
        <v>96</v>
      </c>
      <c r="E5" s="11" t="s">
        <v>135</v>
      </c>
      <c r="G5" s="11" t="s">
        <v>139</v>
      </c>
      <c r="I5" s="11" t="s">
        <v>141</v>
      </c>
      <c r="K5" t="s">
        <v>328</v>
      </c>
    </row>
    <row r="6" spans="1:13" x14ac:dyDescent="0.2">
      <c r="A6" s="11" t="s">
        <v>122</v>
      </c>
      <c r="C6" s="11" t="s">
        <v>127</v>
      </c>
      <c r="E6" s="11" t="s">
        <v>155</v>
      </c>
      <c r="I6" s="11" t="s">
        <v>598</v>
      </c>
      <c r="K6" t="s">
        <v>329</v>
      </c>
    </row>
    <row r="7" spans="1:13" x14ac:dyDescent="0.2">
      <c r="A7" s="11" t="s">
        <v>123</v>
      </c>
      <c r="C7" s="11" t="s">
        <v>128</v>
      </c>
      <c r="E7" s="11" t="s">
        <v>136</v>
      </c>
      <c r="I7" s="11" t="s">
        <v>174</v>
      </c>
    </row>
    <row r="8" spans="1:13" x14ac:dyDescent="0.2">
      <c r="A8" s="11" t="s">
        <v>126</v>
      </c>
      <c r="C8" s="11" t="s">
        <v>129</v>
      </c>
      <c r="E8" s="11" t="s">
        <v>137</v>
      </c>
      <c r="I8" s="11" t="s">
        <v>142</v>
      </c>
    </row>
    <row r="9" spans="1:13" x14ac:dyDescent="0.2">
      <c r="A9" s="11" t="s">
        <v>130</v>
      </c>
      <c r="C9" s="11"/>
      <c r="E9" s="23"/>
      <c r="I9" s="11" t="s">
        <v>143</v>
      </c>
    </row>
    <row r="10" spans="1:13" x14ac:dyDescent="0.2">
      <c r="A10" s="12" t="s">
        <v>131</v>
      </c>
      <c r="C10" s="11"/>
      <c r="I10" s="11" t="s">
        <v>144</v>
      </c>
    </row>
    <row r="11" spans="1:13" x14ac:dyDescent="0.2">
      <c r="A11" s="12" t="s">
        <v>124</v>
      </c>
      <c r="C11" s="11"/>
      <c r="I11" s="11" t="s">
        <v>145</v>
      </c>
    </row>
    <row r="12" spans="1:13" x14ac:dyDescent="0.2">
      <c r="I12" s="11" t="s">
        <v>190</v>
      </c>
    </row>
    <row r="13" spans="1:13" x14ac:dyDescent="0.2">
      <c r="I13" s="11" t="s">
        <v>3</v>
      </c>
    </row>
    <row r="14" spans="1:13" x14ac:dyDescent="0.2">
      <c r="I14" s="11" t="s">
        <v>146</v>
      </c>
    </row>
    <row r="15" spans="1:13" x14ac:dyDescent="0.2">
      <c r="I15" s="11" t="s">
        <v>147</v>
      </c>
    </row>
  </sheetData>
  <pageMargins left="0.7" right="0.7" top="0.75" bottom="0.75" header="0.3" footer="0.3"/>
  <legacyDrawing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16255-9B6B-CC40-87D2-2147BDF9B71E}">
  <dimension ref="A1:M15"/>
  <sheetViews>
    <sheetView showGridLines="0" topLeftCell="C8" zoomScale="120" zoomScaleNormal="120" workbookViewId="0">
      <selection activeCell="I9" sqref="I9"/>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6640625" bestFit="1" customWidth="1"/>
    <col min="6" max="6" width="14.6640625" bestFit="1" customWidth="1"/>
    <col min="7" max="7" width="14.1640625" bestFit="1" customWidth="1"/>
    <col min="8" max="8" width="13.33203125" bestFit="1" customWidth="1"/>
    <col min="9" max="9" width="30.6640625" customWidth="1"/>
    <col min="10" max="10" width="16" customWidth="1"/>
    <col min="11" max="11" width="51.83203125" customWidth="1"/>
    <col min="12" max="13" width="23.5" bestFit="1" customWidth="1"/>
  </cols>
  <sheetData>
    <row r="1" spans="1:13" x14ac:dyDescent="0.2">
      <c r="E1" s="68" t="s">
        <v>115</v>
      </c>
      <c r="G1" s="126">
        <v>17.05</v>
      </c>
    </row>
    <row r="2" spans="1:13" ht="16" thickBot="1" x14ac:dyDescent="0.25">
      <c r="E2" s="67">
        <v>1.08</v>
      </c>
      <c r="G2" s="127"/>
    </row>
    <row r="3" spans="1:13" ht="16" x14ac:dyDescent="0.2">
      <c r="A3" t="s">
        <v>183</v>
      </c>
      <c r="B3" s="51" t="s">
        <v>152</v>
      </c>
      <c r="C3" s="53" t="s">
        <v>117</v>
      </c>
      <c r="D3" t="s">
        <v>526</v>
      </c>
      <c r="E3" s="52" t="s">
        <v>256</v>
      </c>
      <c r="F3" s="52" t="s">
        <v>318</v>
      </c>
      <c r="G3" s="52" t="s">
        <v>70</v>
      </c>
      <c r="H3" s="52" t="s">
        <v>154</v>
      </c>
      <c r="I3" t="s">
        <v>527</v>
      </c>
      <c r="J3" s="54" t="s">
        <v>116</v>
      </c>
      <c r="K3" s="1" t="s">
        <v>428</v>
      </c>
      <c r="L3" s="55" t="s">
        <v>113</v>
      </c>
      <c r="M3" s="55" t="s">
        <v>112</v>
      </c>
    </row>
    <row r="4" spans="1:13" ht="96" x14ac:dyDescent="0.2">
      <c r="A4" s="85" t="s">
        <v>184</v>
      </c>
      <c r="B4" s="85" t="s">
        <v>125</v>
      </c>
      <c r="C4" s="81" t="s">
        <v>7</v>
      </c>
      <c r="D4" s="82" t="s">
        <v>599</v>
      </c>
      <c r="E4" s="89">
        <f>Table8[[#This Row],[Euro - Amount]]*$E$2</f>
        <v>162000</v>
      </c>
      <c r="F4" s="92">
        <v>150000</v>
      </c>
      <c r="G4" s="93">
        <f>Table8[[#This Row],[Total US$ ]]*$G$1</f>
        <v>2762100</v>
      </c>
      <c r="H4" s="85" t="s">
        <v>598</v>
      </c>
      <c r="I4" s="82" t="s">
        <v>602</v>
      </c>
      <c r="J4" s="109" t="s">
        <v>329</v>
      </c>
      <c r="K4" s="82" t="s">
        <v>604</v>
      </c>
      <c r="L4" s="111">
        <v>44562</v>
      </c>
      <c r="M4" s="111">
        <v>45289</v>
      </c>
    </row>
    <row r="5" spans="1:13" ht="144" x14ac:dyDescent="0.2">
      <c r="A5" s="85" t="s">
        <v>185</v>
      </c>
      <c r="B5" s="85" t="s">
        <v>156</v>
      </c>
      <c r="C5" s="81" t="s">
        <v>24</v>
      </c>
      <c r="D5" s="81" t="s">
        <v>165</v>
      </c>
      <c r="E5" s="89">
        <f>Table8[[#This Row],[Euro - Amount]]*$E$2</f>
        <v>2160000</v>
      </c>
      <c r="F5" s="92">
        <v>2000000</v>
      </c>
      <c r="G5" s="93">
        <f>Table8[[#This Row],[Total US$ ]]*$G$1</f>
        <v>36828000</v>
      </c>
      <c r="H5" s="85" t="s">
        <v>598</v>
      </c>
      <c r="I5" s="83" t="s">
        <v>91</v>
      </c>
      <c r="J5" s="109" t="s">
        <v>329</v>
      </c>
      <c r="K5" s="82" t="s">
        <v>605</v>
      </c>
      <c r="L5" s="111">
        <v>44501</v>
      </c>
      <c r="M5" s="111">
        <v>45657</v>
      </c>
    </row>
    <row r="6" spans="1:13" ht="96" x14ac:dyDescent="0.2">
      <c r="A6" s="85" t="s">
        <v>186</v>
      </c>
      <c r="B6" s="85" t="s">
        <v>129</v>
      </c>
      <c r="C6" s="81" t="s">
        <v>24</v>
      </c>
      <c r="D6" s="82" t="s">
        <v>599</v>
      </c>
      <c r="E6" s="89">
        <f>Table8[[#This Row],[Euro - Amount]]*$E$2</f>
        <v>86400</v>
      </c>
      <c r="F6" s="92">
        <v>80000</v>
      </c>
      <c r="G6" s="93">
        <f>Table8[[#This Row],[Total US$ ]]*$G$1</f>
        <v>1473120</v>
      </c>
      <c r="H6" s="85" t="s">
        <v>598</v>
      </c>
      <c r="I6" s="82" t="s">
        <v>602</v>
      </c>
      <c r="J6" s="109" t="s">
        <v>329</v>
      </c>
      <c r="K6" s="82" t="s">
        <v>606</v>
      </c>
      <c r="L6" s="111">
        <v>44928</v>
      </c>
      <c r="M6" s="111">
        <v>45657</v>
      </c>
    </row>
    <row r="7" spans="1:13" ht="80" x14ac:dyDescent="0.2">
      <c r="A7" s="85" t="s">
        <v>187</v>
      </c>
      <c r="B7" s="85" t="s">
        <v>156</v>
      </c>
      <c r="C7" s="81" t="s">
        <v>24</v>
      </c>
      <c r="D7" s="82" t="s">
        <v>599</v>
      </c>
      <c r="E7" s="89">
        <f>Table8[[#This Row],[Euro - Amount]]*$E$2</f>
        <v>21600</v>
      </c>
      <c r="F7" s="92">
        <v>20000</v>
      </c>
      <c r="G7" s="93">
        <f>Table8[[#This Row],[Total US$ ]]*$G$1</f>
        <v>368280</v>
      </c>
      <c r="H7" s="85" t="s">
        <v>598</v>
      </c>
      <c r="I7" s="82" t="s">
        <v>602</v>
      </c>
      <c r="J7" s="109" t="s">
        <v>329</v>
      </c>
      <c r="K7" s="118" t="s">
        <v>607</v>
      </c>
      <c r="L7" s="111">
        <v>44927</v>
      </c>
      <c r="M7" s="111">
        <v>45291</v>
      </c>
    </row>
    <row r="8" spans="1:13" ht="144" x14ac:dyDescent="0.2">
      <c r="A8" s="85" t="s">
        <v>409</v>
      </c>
      <c r="B8" s="85" t="s">
        <v>96</v>
      </c>
      <c r="C8" s="81" t="s">
        <v>36</v>
      </c>
      <c r="D8" s="82" t="s">
        <v>167</v>
      </c>
      <c r="E8" s="89">
        <v>16200000.000000002</v>
      </c>
      <c r="F8" s="92">
        <f>Table8[[#This Row],[Total US$ ]]/$E$2</f>
        <v>15000000</v>
      </c>
      <c r="G8" s="93">
        <f>Table8[[#This Row],[Total US$ ]]*$G$1</f>
        <v>276210000.00000006</v>
      </c>
      <c r="H8" s="85" t="s">
        <v>598</v>
      </c>
      <c r="I8" s="96" t="s">
        <v>603</v>
      </c>
      <c r="J8" s="109" t="s">
        <v>327</v>
      </c>
      <c r="K8" s="118" t="s">
        <v>608</v>
      </c>
      <c r="L8" s="111">
        <v>45017</v>
      </c>
      <c r="M8" s="111">
        <v>46752</v>
      </c>
    </row>
    <row r="9" spans="1:13" ht="160" x14ac:dyDescent="0.2">
      <c r="A9" s="85" t="s">
        <v>188</v>
      </c>
      <c r="B9" s="85" t="s">
        <v>128</v>
      </c>
      <c r="C9" s="81" t="s">
        <v>51</v>
      </c>
      <c r="D9" s="82" t="s">
        <v>18</v>
      </c>
      <c r="E9" s="89">
        <f>Table8[[#This Row],[Euro - Amount]]*$E$2</f>
        <v>172800</v>
      </c>
      <c r="F9" s="92">
        <v>160000</v>
      </c>
      <c r="G9" s="93">
        <f>Table8[[#This Row],[Total US$ ]]*$G$1</f>
        <v>2946240</v>
      </c>
      <c r="H9" s="85" t="s">
        <v>598</v>
      </c>
      <c r="I9" s="83" t="s">
        <v>52</v>
      </c>
      <c r="J9" s="109" t="s">
        <v>329</v>
      </c>
      <c r="K9" s="82" t="s">
        <v>609</v>
      </c>
      <c r="L9" s="111">
        <v>44562</v>
      </c>
      <c r="M9" s="111">
        <v>46387</v>
      </c>
    </row>
    <row r="10" spans="1:13" ht="128" x14ac:dyDescent="0.2">
      <c r="A10" s="85" t="s">
        <v>189</v>
      </c>
      <c r="B10" s="82" t="s">
        <v>125</v>
      </c>
      <c r="C10" s="82" t="s">
        <v>60</v>
      </c>
      <c r="D10" s="82" t="s">
        <v>167</v>
      </c>
      <c r="E10" s="89">
        <f>Table8[[#This Row],[Euro - Amount]]*$E$2</f>
        <v>37800000</v>
      </c>
      <c r="F10" s="92">
        <v>35000000</v>
      </c>
      <c r="G10" s="93">
        <f>Table8[[#This Row],[Total US$ ]]*$G$1</f>
        <v>644490000</v>
      </c>
      <c r="H10" s="85" t="s">
        <v>598</v>
      </c>
      <c r="I10" s="83" t="s">
        <v>106</v>
      </c>
      <c r="J10" s="109" t="s">
        <v>329</v>
      </c>
      <c r="K10" s="82" t="s">
        <v>610</v>
      </c>
      <c r="L10" s="111">
        <v>44501</v>
      </c>
      <c r="M10" s="111">
        <v>46021</v>
      </c>
    </row>
    <row r="11" spans="1:13" x14ac:dyDescent="0.2">
      <c r="E11" s="70">
        <f>SUBTOTAL(109,Table8[Total US$ ])</f>
        <v>56602800</v>
      </c>
      <c r="F11" s="75">
        <f>SUBTOTAL(109,Table8[Euro - Amount])</f>
        <v>52410000</v>
      </c>
      <c r="G11" s="91">
        <f>SUBTOTAL(109,Table8[Total ZAR])</f>
        <v>965077740</v>
      </c>
    </row>
    <row r="13" spans="1:13" ht="29" customHeight="1" x14ac:dyDescent="0.2">
      <c r="A13" s="125" t="s">
        <v>589</v>
      </c>
      <c r="B13" s="125"/>
      <c r="C13" s="125"/>
      <c r="D13" s="125"/>
      <c r="E13" s="125"/>
      <c r="F13" s="125"/>
      <c r="G13" s="125"/>
      <c r="H13" s="125"/>
      <c r="I13" s="125"/>
      <c r="J13" s="125"/>
      <c r="K13" s="125"/>
      <c r="L13" s="125"/>
      <c r="M13" s="125"/>
    </row>
    <row r="14" spans="1:13" x14ac:dyDescent="0.2">
      <c r="B14" s="1"/>
      <c r="F14" s="1"/>
      <c r="G14" s="1"/>
      <c r="H14" s="8"/>
      <c r="I14" s="1"/>
      <c r="J14" s="3"/>
    </row>
    <row r="15" spans="1:13" x14ac:dyDescent="0.2">
      <c r="A15" s="125" t="s">
        <v>590</v>
      </c>
      <c r="B15" s="125"/>
      <c r="C15" s="125"/>
      <c r="D15" s="125"/>
      <c r="E15" s="125"/>
      <c r="F15" s="125"/>
      <c r="G15" s="125"/>
      <c r="H15" s="125"/>
      <c r="I15" s="125"/>
      <c r="J15" s="125"/>
      <c r="K15" s="125"/>
    </row>
  </sheetData>
  <mergeCells count="3">
    <mergeCell ref="G1:G2"/>
    <mergeCell ref="A15:K15"/>
    <mergeCell ref="A13:M13"/>
  </mergeCells>
  <phoneticPr fontId="1" type="noConversion"/>
  <pageMargins left="0.7" right="0.7" top="0.75" bottom="0.75" header="0.3" footer="0.3"/>
  <ignoredErrors>
    <ignoredError sqref="F4:F7 F10 F9" calculatedColumn="1"/>
  </ignoredError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19720ACC-BF93-9141-BE23-AD3B76DA96D5}">
          <x14:formula1>
            <xm:f>Dropdowns!$C$2:$C$8</xm:f>
          </x14:formula1>
          <xm:sqref>B4:B10</xm:sqref>
        </x14:dataValidation>
        <x14:dataValidation type="list" allowBlank="1" showInputMessage="1" showErrorMessage="1" xr:uid="{8AA2F60E-76E4-6F47-8D23-5EF222D2EC62}">
          <x14:formula1>
            <xm:f>Dropdowns!$K$2:$K$6</xm:f>
          </x14:formula1>
          <xm:sqref>J4:J10</xm:sqref>
        </x14:dataValidation>
        <x14:dataValidation type="list" allowBlank="1" showInputMessage="1" showErrorMessage="1" xr:uid="{E33EB60C-B4B4-5B4D-AE6C-190FE6FF347C}">
          <x14:formula1>
            <xm:f>Dropdowns!$I$2:$I$15</xm:f>
          </x14:formula1>
          <xm:sqref>H4:H10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FE2B-C001-4C4B-8A22-DDFC2DF54B79}">
  <dimension ref="A1:N133"/>
  <sheetViews>
    <sheetView showGridLines="0" topLeftCell="B1" zoomScale="120" zoomScaleNormal="120" workbookViewId="0">
      <selection activeCell="I6" sqref="I6"/>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0" hidden="1" customWidth="1"/>
    <col min="6" max="6" width="12" bestFit="1" customWidth="1"/>
    <col min="7" max="7" width="13.83203125" bestFit="1" customWidth="1"/>
    <col min="8" max="8" width="13.1640625" bestFit="1" customWidth="1"/>
    <col min="9" max="9" width="13.5" bestFit="1" customWidth="1"/>
    <col min="10" max="10" width="30.6640625" customWidth="1"/>
    <col min="11" max="11" width="16" customWidth="1"/>
    <col min="12" max="12" width="51.83203125" customWidth="1"/>
    <col min="13" max="13" width="24.33203125" bestFit="1" customWidth="1"/>
    <col min="14" max="14" width="26.33203125" bestFit="1" customWidth="1"/>
  </cols>
  <sheetData>
    <row r="1" spans="1:14" x14ac:dyDescent="0.2">
      <c r="F1" s="68" t="s">
        <v>229</v>
      </c>
      <c r="H1" s="126">
        <v>17.05</v>
      </c>
    </row>
    <row r="2" spans="1:14" ht="16" thickBot="1" x14ac:dyDescent="0.25">
      <c r="F2" s="67">
        <v>1.24</v>
      </c>
      <c r="H2" s="127"/>
    </row>
    <row r="3" spans="1:14" ht="16" x14ac:dyDescent="0.2">
      <c r="A3" t="s">
        <v>183</v>
      </c>
      <c r="B3" s="51" t="s">
        <v>152</v>
      </c>
      <c r="C3" s="53" t="s">
        <v>117</v>
      </c>
      <c r="D3" t="s">
        <v>526</v>
      </c>
      <c r="E3" s="52" t="s">
        <v>1</v>
      </c>
      <c r="F3" s="52" t="s">
        <v>256</v>
      </c>
      <c r="G3" s="52" t="s">
        <v>330</v>
      </c>
      <c r="H3" s="52" t="s">
        <v>70</v>
      </c>
      <c r="I3" s="52" t="s">
        <v>154</v>
      </c>
      <c r="J3" t="s">
        <v>527</v>
      </c>
      <c r="K3" s="54" t="s">
        <v>116</v>
      </c>
      <c r="L3" s="1" t="s">
        <v>428</v>
      </c>
      <c r="M3" s="55" t="s">
        <v>113</v>
      </c>
      <c r="N3" s="55" t="s">
        <v>112</v>
      </c>
    </row>
    <row r="4" spans="1:14" s="35" customFormat="1" ht="128" x14ac:dyDescent="0.2">
      <c r="A4" s="85" t="s">
        <v>191</v>
      </c>
      <c r="B4" s="85" t="s">
        <v>125</v>
      </c>
      <c r="C4" s="82" t="s">
        <v>0</v>
      </c>
      <c r="D4" s="82" t="s">
        <v>3</v>
      </c>
      <c r="E4" s="81" t="s">
        <v>2</v>
      </c>
      <c r="F4" s="88">
        <f>Table810[[#This Row],[GBP - Amount]]*$F$2</f>
        <v>2000000.0052</v>
      </c>
      <c r="G4" s="94">
        <v>1612903.23</v>
      </c>
      <c r="H4" s="99">
        <f>Table810[[#This Row],[Total US$ ]]*$H$1</f>
        <v>34100000.088660002</v>
      </c>
      <c r="I4" s="85" t="s">
        <v>600</v>
      </c>
      <c r="J4" s="83" t="s">
        <v>528</v>
      </c>
      <c r="K4" s="109" t="s">
        <v>327</v>
      </c>
      <c r="L4" s="82" t="s">
        <v>410</v>
      </c>
      <c r="M4" s="111">
        <v>44501</v>
      </c>
      <c r="N4" s="111">
        <v>45657</v>
      </c>
    </row>
    <row r="5" spans="1:14" s="35" customFormat="1" ht="64" x14ac:dyDescent="0.2">
      <c r="A5" s="85" t="s">
        <v>197</v>
      </c>
      <c r="B5" s="85" t="s">
        <v>125</v>
      </c>
      <c r="C5" s="82" t="s">
        <v>0</v>
      </c>
      <c r="D5" s="82" t="s">
        <v>3</v>
      </c>
      <c r="E5" s="81" t="s">
        <v>2</v>
      </c>
      <c r="F5" s="88">
        <f>Table810[[#This Row],[GBP - Amount]]*$F$2</f>
        <v>1380000.0052</v>
      </c>
      <c r="G5" s="94">
        <v>1112903.23</v>
      </c>
      <c r="H5" s="99">
        <f>Table810[[#This Row],[Total US$ ]]*$H$1</f>
        <v>23529000.088660002</v>
      </c>
      <c r="I5" s="85" t="s">
        <v>600</v>
      </c>
      <c r="J5" s="83" t="s">
        <v>529</v>
      </c>
      <c r="K5" s="109" t="s">
        <v>327</v>
      </c>
      <c r="L5" s="82" t="s">
        <v>411</v>
      </c>
      <c r="M5" s="111">
        <v>44562</v>
      </c>
      <c r="N5" s="111">
        <v>45657</v>
      </c>
    </row>
    <row r="6" spans="1:14" s="35" customFormat="1" ht="96" x14ac:dyDescent="0.2">
      <c r="A6" s="85" t="s">
        <v>198</v>
      </c>
      <c r="B6" s="85" t="s">
        <v>125</v>
      </c>
      <c r="C6" s="82" t="s">
        <v>9</v>
      </c>
      <c r="D6" s="82" t="s">
        <v>160</v>
      </c>
      <c r="E6" s="81" t="s">
        <v>2</v>
      </c>
      <c r="F6" s="88">
        <f>Table810[[#This Row],[GBP - Amount]]*$F$2</f>
        <v>112840</v>
      </c>
      <c r="G6" s="94">
        <v>91000</v>
      </c>
      <c r="H6" s="99">
        <f>Table810[[#This Row],[Total US$ ]]*$H$1</f>
        <v>1923922</v>
      </c>
      <c r="I6" s="85" t="s">
        <v>600</v>
      </c>
      <c r="J6" s="96" t="s">
        <v>42</v>
      </c>
      <c r="K6" s="109" t="s">
        <v>327</v>
      </c>
      <c r="L6" s="82" t="s">
        <v>412</v>
      </c>
      <c r="M6" s="111">
        <v>44562</v>
      </c>
      <c r="N6" s="111">
        <v>45291</v>
      </c>
    </row>
    <row r="7" spans="1:14" s="35" customFormat="1" ht="80" x14ac:dyDescent="0.2">
      <c r="A7" s="85" t="s">
        <v>199</v>
      </c>
      <c r="B7" s="85" t="s">
        <v>125</v>
      </c>
      <c r="C7" s="82" t="s">
        <v>12</v>
      </c>
      <c r="D7" s="82" t="s">
        <v>13</v>
      </c>
      <c r="E7" s="81" t="s">
        <v>2</v>
      </c>
      <c r="F7" s="88">
        <f>Table810[[#This Row],[GBP - Amount]]*$F$2</f>
        <v>1490677.3194459043</v>
      </c>
      <c r="G7" s="94">
        <v>1202159.1285854068</v>
      </c>
      <c r="H7" s="99">
        <f>Table810[[#This Row],[Total US$ ]]*$H$1</f>
        <v>25416048.296552669</v>
      </c>
      <c r="I7" s="85" t="s">
        <v>600</v>
      </c>
      <c r="J7" s="83" t="s">
        <v>87</v>
      </c>
      <c r="K7" s="109" t="s">
        <v>327</v>
      </c>
      <c r="L7" s="82" t="s">
        <v>413</v>
      </c>
      <c r="M7" s="111">
        <v>44562</v>
      </c>
      <c r="N7" s="111">
        <v>45657</v>
      </c>
    </row>
    <row r="8" spans="1:14" s="35" customFormat="1" ht="96" x14ac:dyDescent="0.2">
      <c r="A8" s="85" t="s">
        <v>200</v>
      </c>
      <c r="B8" s="85" t="s">
        <v>125</v>
      </c>
      <c r="C8" s="82" t="s">
        <v>22</v>
      </c>
      <c r="D8" s="82" t="s">
        <v>161</v>
      </c>
      <c r="E8" s="81" t="s">
        <v>14</v>
      </c>
      <c r="F8" s="88">
        <f>Table810[[#This Row],[GBP - Amount]]*$F$2</f>
        <v>170170.16</v>
      </c>
      <c r="G8" s="95">
        <v>137234</v>
      </c>
      <c r="H8" s="99">
        <f>Table810[[#This Row],[Total US$ ]]*$H$1</f>
        <v>2901401.2280000001</v>
      </c>
      <c r="I8" s="85" t="s">
        <v>600</v>
      </c>
      <c r="J8" s="83" t="s">
        <v>530</v>
      </c>
      <c r="K8" s="109" t="s">
        <v>338</v>
      </c>
      <c r="L8" s="82" t="s">
        <v>414</v>
      </c>
      <c r="M8" s="111">
        <v>44927</v>
      </c>
      <c r="N8" s="111">
        <v>45291</v>
      </c>
    </row>
    <row r="9" spans="1:14" s="35" customFormat="1" ht="256" x14ac:dyDescent="0.2">
      <c r="A9" s="85" t="s">
        <v>201</v>
      </c>
      <c r="B9" s="85" t="s">
        <v>129</v>
      </c>
      <c r="C9" s="82" t="s">
        <v>17</v>
      </c>
      <c r="D9" s="82" t="s">
        <v>13</v>
      </c>
      <c r="E9" s="81" t="s">
        <v>14</v>
      </c>
      <c r="F9" s="88">
        <f>Table810[[#This Row],[GBP - Amount]]*$F$2</f>
        <v>429208.64</v>
      </c>
      <c r="G9" s="95">
        <v>346136</v>
      </c>
      <c r="H9" s="99">
        <f>Table810[[#This Row],[Total US$ ]]*$H$1</f>
        <v>7318007.3120000008</v>
      </c>
      <c r="I9" s="85" t="s">
        <v>600</v>
      </c>
      <c r="J9" s="83" t="s">
        <v>531</v>
      </c>
      <c r="K9" s="109" t="s">
        <v>329</v>
      </c>
      <c r="L9" s="82" t="s">
        <v>415</v>
      </c>
      <c r="M9" s="111">
        <v>44501</v>
      </c>
      <c r="N9" s="111">
        <v>45016</v>
      </c>
    </row>
    <row r="10" spans="1:14" s="35" customFormat="1" ht="112" x14ac:dyDescent="0.2">
      <c r="A10" s="85" t="s">
        <v>202</v>
      </c>
      <c r="B10" s="85" t="s">
        <v>129</v>
      </c>
      <c r="C10" s="82" t="s">
        <v>17</v>
      </c>
      <c r="D10" s="82" t="s">
        <v>59</v>
      </c>
      <c r="E10" s="81" t="s">
        <v>14</v>
      </c>
      <c r="F10" s="88">
        <f>Table810[[#This Row],[GBP - Amount]]*$F$2</f>
        <v>640148.76</v>
      </c>
      <c r="G10" s="95">
        <v>516249</v>
      </c>
      <c r="H10" s="99">
        <f>Table810[[#This Row],[Total US$ ]]*$H$1</f>
        <v>10914536.358000001</v>
      </c>
      <c r="I10" s="85" t="s">
        <v>600</v>
      </c>
      <c r="J10" s="96" t="s">
        <v>532</v>
      </c>
      <c r="K10" s="109" t="s">
        <v>329</v>
      </c>
      <c r="L10" s="82" t="s">
        <v>416</v>
      </c>
      <c r="M10" s="111">
        <v>44501</v>
      </c>
      <c r="N10" s="111">
        <v>45016</v>
      </c>
    </row>
    <row r="11" spans="1:14" s="35" customFormat="1" ht="112" x14ac:dyDescent="0.2">
      <c r="A11" s="85" t="s">
        <v>203</v>
      </c>
      <c r="B11" s="85" t="s">
        <v>129</v>
      </c>
      <c r="C11" s="82" t="s">
        <v>17</v>
      </c>
      <c r="D11" s="82" t="s">
        <v>162</v>
      </c>
      <c r="E11" s="81" t="s">
        <v>2</v>
      </c>
      <c r="F11" s="88">
        <f>Table810[[#This Row],[GBP - Amount]]*$F$2</f>
        <v>915005.92</v>
      </c>
      <c r="G11" s="95">
        <v>737908</v>
      </c>
      <c r="H11" s="99">
        <f>Table810[[#This Row],[Total US$ ]]*$H$1</f>
        <v>15600850.936000001</v>
      </c>
      <c r="I11" s="85" t="s">
        <v>600</v>
      </c>
      <c r="J11" s="96" t="s">
        <v>533</v>
      </c>
      <c r="K11" s="109" t="s">
        <v>328</v>
      </c>
      <c r="L11" s="82" t="s">
        <v>417</v>
      </c>
      <c r="M11" s="111">
        <v>44501</v>
      </c>
      <c r="N11" s="111">
        <v>45291</v>
      </c>
    </row>
    <row r="12" spans="1:14" s="35" customFormat="1" ht="224" x14ac:dyDescent="0.2">
      <c r="A12" s="85" t="s">
        <v>204</v>
      </c>
      <c r="B12" s="85" t="s">
        <v>129</v>
      </c>
      <c r="C12" s="82" t="s">
        <v>21</v>
      </c>
      <c r="D12" s="82" t="s">
        <v>162</v>
      </c>
      <c r="E12" s="81" t="s">
        <v>2</v>
      </c>
      <c r="F12" s="88">
        <f>Table810[[#This Row],[GBP - Amount]]*$F$2</f>
        <v>1324931.32</v>
      </c>
      <c r="G12" s="95">
        <v>1068493</v>
      </c>
      <c r="H12" s="99">
        <f>Table810[[#This Row],[Total US$ ]]*$H$1</f>
        <v>22590079.006000001</v>
      </c>
      <c r="I12" s="85" t="s">
        <v>600</v>
      </c>
      <c r="J12" s="83" t="s">
        <v>534</v>
      </c>
      <c r="K12" s="109" t="s">
        <v>327</v>
      </c>
      <c r="L12" s="82" t="s">
        <v>418</v>
      </c>
      <c r="M12" s="111">
        <v>44501</v>
      </c>
      <c r="N12" s="111">
        <v>45747</v>
      </c>
    </row>
    <row r="13" spans="1:14" s="35" customFormat="1" ht="112" x14ac:dyDescent="0.2">
      <c r="A13" s="85" t="s">
        <v>205</v>
      </c>
      <c r="B13" s="85" t="s">
        <v>129</v>
      </c>
      <c r="C13" s="82" t="s">
        <v>22</v>
      </c>
      <c r="D13" s="82" t="s">
        <v>23</v>
      </c>
      <c r="E13" s="81" t="s">
        <v>2</v>
      </c>
      <c r="F13" s="88">
        <f>Table810[[#This Row],[GBP - Amount]]*$F$2</f>
        <v>314491.27999999997</v>
      </c>
      <c r="G13" s="95">
        <v>253622</v>
      </c>
      <c r="H13" s="99">
        <f>Table810[[#This Row],[Total US$ ]]*$H$1</f>
        <v>5362076.324</v>
      </c>
      <c r="I13" s="85" t="s">
        <v>600</v>
      </c>
      <c r="J13" s="83" t="s">
        <v>95</v>
      </c>
      <c r="K13" s="109" t="s">
        <v>329</v>
      </c>
      <c r="L13" s="82" t="s">
        <v>419</v>
      </c>
      <c r="M13" s="111">
        <v>44501</v>
      </c>
      <c r="N13" s="111">
        <v>44895</v>
      </c>
    </row>
    <row r="14" spans="1:14" s="35" customFormat="1" ht="112" x14ac:dyDescent="0.2">
      <c r="A14" s="85" t="s">
        <v>206</v>
      </c>
      <c r="B14" s="85" t="s">
        <v>156</v>
      </c>
      <c r="C14" s="82" t="s">
        <v>24</v>
      </c>
      <c r="D14" s="82" t="s">
        <v>25</v>
      </c>
      <c r="E14" s="81" t="s">
        <v>2</v>
      </c>
      <c r="F14" s="88">
        <f>Table810[[#This Row],[GBP - Amount]]*$F$2</f>
        <v>328600</v>
      </c>
      <c r="G14" s="95">
        <v>265000</v>
      </c>
      <c r="H14" s="99">
        <f>Table810[[#This Row],[Total US$ ]]*$H$1</f>
        <v>5602630</v>
      </c>
      <c r="I14" s="85" t="s">
        <v>600</v>
      </c>
      <c r="J14" s="83" t="s">
        <v>90</v>
      </c>
      <c r="K14" s="109" t="s">
        <v>329</v>
      </c>
      <c r="L14" s="82" t="s">
        <v>420</v>
      </c>
      <c r="M14" s="111">
        <v>44562</v>
      </c>
      <c r="N14" s="111">
        <v>45657</v>
      </c>
    </row>
    <row r="15" spans="1:14" s="35" customFormat="1" ht="160" x14ac:dyDescent="0.2">
      <c r="A15" s="85" t="s">
        <v>207</v>
      </c>
      <c r="B15" s="85" t="s">
        <v>156</v>
      </c>
      <c r="C15" s="82" t="s">
        <v>26</v>
      </c>
      <c r="D15" s="82" t="s">
        <v>27</v>
      </c>
      <c r="E15" s="81" t="s">
        <v>2</v>
      </c>
      <c r="F15" s="88">
        <f>Table810[[#This Row],[GBP - Amount]]*$F$2</f>
        <v>22353.48</v>
      </c>
      <c r="G15" s="95">
        <v>18027</v>
      </c>
      <c r="H15" s="99">
        <f>Table810[[#This Row],[Total US$ ]]*$H$1</f>
        <v>381126.83400000003</v>
      </c>
      <c r="I15" s="85" t="s">
        <v>600</v>
      </c>
      <c r="J15" s="83" t="s">
        <v>97</v>
      </c>
      <c r="K15" s="109" t="s">
        <v>329</v>
      </c>
      <c r="L15" s="82" t="s">
        <v>421</v>
      </c>
      <c r="M15" s="111">
        <v>44958</v>
      </c>
      <c r="N15" s="111">
        <v>45230</v>
      </c>
    </row>
    <row r="16" spans="1:14" s="35" customFormat="1" ht="144" x14ac:dyDescent="0.2">
      <c r="A16" s="85" t="s">
        <v>208</v>
      </c>
      <c r="B16" s="85" t="s">
        <v>96</v>
      </c>
      <c r="C16" s="82" t="s">
        <v>35</v>
      </c>
      <c r="D16" s="82" t="s">
        <v>27</v>
      </c>
      <c r="E16" s="81" t="s">
        <v>2</v>
      </c>
      <c r="F16" s="88">
        <f>Table810[[#This Row],[GBP - Amount]]*$F$2</f>
        <v>152648.95999999999</v>
      </c>
      <c r="G16" s="95">
        <v>123104</v>
      </c>
      <c r="H16" s="99">
        <f>Table810[[#This Row],[Total US$ ]]*$H$1</f>
        <v>2602664.7680000002</v>
      </c>
      <c r="I16" s="85" t="s">
        <v>600</v>
      </c>
      <c r="J16" s="83" t="s">
        <v>99</v>
      </c>
      <c r="K16" s="109" t="s">
        <v>329</v>
      </c>
      <c r="L16" s="82" t="s">
        <v>422</v>
      </c>
      <c r="M16" s="112">
        <v>44501</v>
      </c>
      <c r="N16" s="112">
        <v>44712</v>
      </c>
    </row>
    <row r="17" spans="1:14" s="35" customFormat="1" ht="176" x14ac:dyDescent="0.2">
      <c r="A17" s="85" t="s">
        <v>209</v>
      </c>
      <c r="B17" s="85" t="s">
        <v>96</v>
      </c>
      <c r="C17" s="82" t="s">
        <v>36</v>
      </c>
      <c r="D17" s="82" t="s">
        <v>37</v>
      </c>
      <c r="E17" s="81" t="s">
        <v>2</v>
      </c>
      <c r="F17" s="88">
        <f>Table810[[#This Row],[GBP - Amount]]*$F$2</f>
        <v>186281.48</v>
      </c>
      <c r="G17" s="95">
        <v>150227</v>
      </c>
      <c r="H17" s="99">
        <f>Table810[[#This Row],[Total US$ ]]*$H$1</f>
        <v>3176099.2340000002</v>
      </c>
      <c r="I17" s="85" t="s">
        <v>600</v>
      </c>
      <c r="J17" s="96" t="s">
        <v>100</v>
      </c>
      <c r="K17" s="109" t="s">
        <v>329</v>
      </c>
      <c r="L17" s="82" t="s">
        <v>423</v>
      </c>
      <c r="M17" s="111">
        <v>44501</v>
      </c>
      <c r="N17" s="111">
        <v>44804</v>
      </c>
    </row>
    <row r="18" spans="1:14" s="35" customFormat="1" ht="128" x14ac:dyDescent="0.2">
      <c r="A18" s="85" t="s">
        <v>210</v>
      </c>
      <c r="B18" s="85" t="s">
        <v>96</v>
      </c>
      <c r="C18" s="82" t="s">
        <v>36</v>
      </c>
      <c r="D18" s="82" t="s">
        <v>38</v>
      </c>
      <c r="E18" s="81" t="s">
        <v>2</v>
      </c>
      <c r="F18" s="88">
        <f>Table810[[#This Row],[GBP - Amount]]*$F$2</f>
        <v>369694.84</v>
      </c>
      <c r="G18" s="95">
        <v>298141</v>
      </c>
      <c r="H18" s="99">
        <f>Table810[[#This Row],[Total US$ ]]*$H$1</f>
        <v>6303297.0220000008</v>
      </c>
      <c r="I18" s="85" t="s">
        <v>600</v>
      </c>
      <c r="J18" s="96" t="s">
        <v>101</v>
      </c>
      <c r="K18" s="109" t="s">
        <v>329</v>
      </c>
      <c r="L18" s="82" t="s">
        <v>424</v>
      </c>
      <c r="M18" s="111">
        <v>44866</v>
      </c>
      <c r="N18" s="111">
        <v>45657</v>
      </c>
    </row>
    <row r="19" spans="1:14" s="35" customFormat="1" ht="80" x14ac:dyDescent="0.2">
      <c r="A19" s="85" t="s">
        <v>211</v>
      </c>
      <c r="B19" s="85" t="s">
        <v>96</v>
      </c>
      <c r="C19" s="82" t="s">
        <v>39</v>
      </c>
      <c r="D19" s="82" t="s">
        <v>6</v>
      </c>
      <c r="E19" s="81" t="s">
        <v>2</v>
      </c>
      <c r="F19" s="88">
        <f>Table810[[#This Row],[GBP - Amount]]*$F$2</f>
        <v>6361200</v>
      </c>
      <c r="G19" s="94">
        <v>5130000</v>
      </c>
      <c r="H19" s="87">
        <f>Table810[[#This Row],[Total US$ ]]*$H$1</f>
        <v>108458460</v>
      </c>
      <c r="I19" s="85" t="s">
        <v>600</v>
      </c>
      <c r="J19" s="96" t="s">
        <v>400</v>
      </c>
      <c r="K19" s="109" t="s">
        <v>329</v>
      </c>
      <c r="L19" s="82" t="s">
        <v>425</v>
      </c>
      <c r="M19" s="111">
        <v>44562</v>
      </c>
      <c r="N19" s="111">
        <v>46022</v>
      </c>
    </row>
    <row r="20" spans="1:14" s="35" customFormat="1" ht="144" x14ac:dyDescent="0.2">
      <c r="A20" s="85" t="s">
        <v>212</v>
      </c>
      <c r="B20" s="85" t="s">
        <v>96</v>
      </c>
      <c r="C20" s="82" t="s">
        <v>39</v>
      </c>
      <c r="D20" s="82" t="s">
        <v>162</v>
      </c>
      <c r="E20" s="81" t="s">
        <v>2</v>
      </c>
      <c r="F20" s="88">
        <f>Table810[[#This Row],[GBP - Amount]]*$F$2</f>
        <v>510421.2</v>
      </c>
      <c r="G20" s="95">
        <v>411630</v>
      </c>
      <c r="H20" s="99">
        <f>Table810[[#This Row],[Total US$ ]]*$H$1</f>
        <v>8702681.4600000009</v>
      </c>
      <c r="I20" s="85" t="s">
        <v>600</v>
      </c>
      <c r="J20" s="83" t="s">
        <v>42</v>
      </c>
      <c r="K20" s="109" t="s">
        <v>329</v>
      </c>
      <c r="L20" s="82" t="s">
        <v>426</v>
      </c>
      <c r="M20" s="111">
        <v>44562</v>
      </c>
      <c r="N20" s="111">
        <v>45107</v>
      </c>
    </row>
    <row r="21" spans="1:14" s="35" customFormat="1" ht="96" x14ac:dyDescent="0.2">
      <c r="A21" s="85" t="s">
        <v>213</v>
      </c>
      <c r="B21" s="85" t="s">
        <v>127</v>
      </c>
      <c r="C21" s="82" t="s">
        <v>43</v>
      </c>
      <c r="D21" s="82" t="s">
        <v>168</v>
      </c>
      <c r="E21" s="81" t="s">
        <v>14</v>
      </c>
      <c r="F21" s="88">
        <f>Table810[[#This Row],[GBP - Amount]]*$F$2</f>
        <v>374532.08</v>
      </c>
      <c r="G21" s="95">
        <v>302042</v>
      </c>
      <c r="H21" s="99">
        <f>Table810[[#This Row],[Total US$ ]]*$H$1</f>
        <v>6385771.9640000006</v>
      </c>
      <c r="I21" s="85" t="s">
        <v>600</v>
      </c>
      <c r="J21" s="83" t="s">
        <v>102</v>
      </c>
      <c r="K21" s="109" t="s">
        <v>329</v>
      </c>
      <c r="L21" s="82" t="s">
        <v>427</v>
      </c>
      <c r="M21" s="111">
        <v>44501</v>
      </c>
      <c r="N21" s="111">
        <v>45016</v>
      </c>
    </row>
    <row r="22" spans="1:14" s="35" customFormat="1" ht="96" x14ac:dyDescent="0.2">
      <c r="A22" s="85" t="s">
        <v>214</v>
      </c>
      <c r="B22" s="85" t="s">
        <v>127</v>
      </c>
      <c r="C22" s="82" t="s">
        <v>43</v>
      </c>
      <c r="D22" s="82" t="s">
        <v>38</v>
      </c>
      <c r="E22" s="81" t="s">
        <v>14</v>
      </c>
      <c r="F22" s="88">
        <f>Table810[[#This Row],[GBP - Amount]]*$F$2</f>
        <v>183734.52</v>
      </c>
      <c r="G22" s="95">
        <v>148173</v>
      </c>
      <c r="H22" s="99">
        <f>Table810[[#This Row],[Total US$ ]]*$H$1</f>
        <v>3132673.5660000001</v>
      </c>
      <c r="I22" s="85" t="s">
        <v>600</v>
      </c>
      <c r="J22" s="83" t="s">
        <v>101</v>
      </c>
      <c r="K22" s="109" t="s">
        <v>329</v>
      </c>
      <c r="L22" s="82" t="s">
        <v>429</v>
      </c>
      <c r="M22" s="111">
        <v>44501</v>
      </c>
      <c r="N22" s="111">
        <v>44926</v>
      </c>
    </row>
    <row r="23" spans="1:14" s="35" customFormat="1" ht="64" x14ac:dyDescent="0.2">
      <c r="A23" s="85" t="s">
        <v>215</v>
      </c>
      <c r="B23" s="85" t="s">
        <v>126</v>
      </c>
      <c r="C23" s="82" t="s">
        <v>44</v>
      </c>
      <c r="D23" s="82" t="s">
        <v>3</v>
      </c>
      <c r="E23" s="81" t="s">
        <v>2</v>
      </c>
      <c r="F23" s="88">
        <f>Table810[[#This Row],[GBP - Amount]]*$F$2</f>
        <v>2005482.7310146289</v>
      </c>
      <c r="G23" s="94">
        <v>1617324.7830763136</v>
      </c>
      <c r="H23" s="99">
        <f>Table810[[#This Row],[Total US$ ]]*$H$1</f>
        <v>34193480.563799426</v>
      </c>
      <c r="I23" s="85" t="s">
        <v>600</v>
      </c>
      <c r="J23" s="83" t="s">
        <v>535</v>
      </c>
      <c r="K23" s="109" t="s">
        <v>329</v>
      </c>
      <c r="L23" s="82" t="s">
        <v>430</v>
      </c>
      <c r="M23" s="111">
        <v>44501</v>
      </c>
      <c r="N23" s="111">
        <v>45291</v>
      </c>
    </row>
    <row r="24" spans="1:14" s="35" customFormat="1" ht="144" x14ac:dyDescent="0.2">
      <c r="A24" s="85" t="s">
        <v>216</v>
      </c>
      <c r="B24" s="85" t="s">
        <v>128</v>
      </c>
      <c r="C24" s="82" t="s">
        <v>49</v>
      </c>
      <c r="D24" s="82" t="s">
        <v>50</v>
      </c>
      <c r="E24" s="81" t="s">
        <v>2</v>
      </c>
      <c r="F24" s="88">
        <f>Table810[[#This Row],[GBP - Amount]]*$F$2</f>
        <v>102453.75999999999</v>
      </c>
      <c r="G24" s="95">
        <v>82624</v>
      </c>
      <c r="H24" s="99">
        <f>Table810[[#This Row],[Total US$ ]]*$H$1</f>
        <v>1746836.608</v>
      </c>
      <c r="I24" s="85" t="s">
        <v>600</v>
      </c>
      <c r="J24" s="83" t="s">
        <v>536</v>
      </c>
      <c r="K24" s="109" t="s">
        <v>329</v>
      </c>
      <c r="L24" s="82" t="s">
        <v>431</v>
      </c>
      <c r="M24" s="111">
        <v>44501</v>
      </c>
      <c r="N24" s="111">
        <v>44681</v>
      </c>
    </row>
    <row r="25" spans="1:14" s="35" customFormat="1" ht="64" x14ac:dyDescent="0.2">
      <c r="A25" s="85" t="s">
        <v>217</v>
      </c>
      <c r="B25" s="85" t="s">
        <v>128</v>
      </c>
      <c r="C25" s="82" t="s">
        <v>51</v>
      </c>
      <c r="D25" s="82" t="s">
        <v>169</v>
      </c>
      <c r="E25" s="81" t="s">
        <v>56</v>
      </c>
      <c r="F25" s="88">
        <f>Table810[[#This Row],[GBP - Amount]]*$F$2</f>
        <v>235600</v>
      </c>
      <c r="G25" s="95">
        <v>190000</v>
      </c>
      <c r="H25" s="99">
        <f>Table810[[#This Row],[Total US$ ]]*$H$1</f>
        <v>4016980</v>
      </c>
      <c r="I25" s="85" t="s">
        <v>600</v>
      </c>
      <c r="J25" s="96" t="s">
        <v>537</v>
      </c>
      <c r="K25" s="109" t="s">
        <v>329</v>
      </c>
      <c r="L25" s="82" t="s">
        <v>432</v>
      </c>
      <c r="M25" s="112">
        <v>44866</v>
      </c>
      <c r="N25" s="112">
        <v>45107</v>
      </c>
    </row>
    <row r="26" spans="1:14" s="35" customFormat="1" ht="96" x14ac:dyDescent="0.2">
      <c r="A26" s="85" t="s">
        <v>218</v>
      </c>
      <c r="B26" s="85" t="s">
        <v>128</v>
      </c>
      <c r="C26" s="82" t="s">
        <v>51</v>
      </c>
      <c r="D26" s="81" t="s">
        <v>57</v>
      </c>
      <c r="E26" s="81" t="s">
        <v>58</v>
      </c>
      <c r="F26" s="88">
        <f>Table810[[#This Row],[GBP - Amount]]*$F$2</f>
        <v>95002.6</v>
      </c>
      <c r="G26" s="95">
        <v>76615</v>
      </c>
      <c r="H26" s="99">
        <f>Table810[[#This Row],[Total US$ ]]*$H$1</f>
        <v>1619794.33</v>
      </c>
      <c r="I26" s="85" t="s">
        <v>600</v>
      </c>
      <c r="J26" s="83" t="s">
        <v>538</v>
      </c>
      <c r="K26" s="109" t="s">
        <v>329</v>
      </c>
      <c r="L26" s="82" t="s">
        <v>433</v>
      </c>
      <c r="M26" s="112">
        <v>44866</v>
      </c>
      <c r="N26" s="112">
        <v>45107</v>
      </c>
    </row>
    <row r="27" spans="1:14" s="35" customFormat="1" ht="112" x14ac:dyDescent="0.2">
      <c r="A27" s="85" t="s">
        <v>219</v>
      </c>
      <c r="B27" s="85" t="s">
        <v>125</v>
      </c>
      <c r="C27" s="82" t="s">
        <v>73</v>
      </c>
      <c r="D27" s="82" t="s">
        <v>13</v>
      </c>
      <c r="E27" s="82" t="s">
        <v>2</v>
      </c>
      <c r="F27" s="88">
        <f>Table810[[#This Row],[GBP - Amount]]*$F$2</f>
        <v>247021.63999999998</v>
      </c>
      <c r="G27" s="95">
        <v>199211</v>
      </c>
      <c r="H27" s="99">
        <f>Table810[[#This Row],[Total US$ ]]*$H$1</f>
        <v>4211718.9620000003</v>
      </c>
      <c r="I27" s="85" t="s">
        <v>600</v>
      </c>
      <c r="J27" s="96" t="s">
        <v>107</v>
      </c>
      <c r="K27" s="109" t="s">
        <v>329</v>
      </c>
      <c r="L27" s="82" t="s">
        <v>434</v>
      </c>
      <c r="M27" s="111">
        <v>44835</v>
      </c>
      <c r="N27" s="111">
        <v>45199</v>
      </c>
    </row>
    <row r="28" spans="1:14" s="35" customFormat="1" ht="80" x14ac:dyDescent="0.2">
      <c r="A28" s="85" t="s">
        <v>220</v>
      </c>
      <c r="B28" s="85" t="s">
        <v>128</v>
      </c>
      <c r="C28" s="82" t="s">
        <v>74</v>
      </c>
      <c r="D28" s="82" t="s">
        <v>63</v>
      </c>
      <c r="E28" s="82" t="s">
        <v>2</v>
      </c>
      <c r="F28" s="88">
        <f>Table810[[#This Row],[GBP - Amount]]*$F$2</f>
        <v>30646.354607700545</v>
      </c>
      <c r="G28" s="95">
        <v>24714.802102984311</v>
      </c>
      <c r="H28" s="99">
        <f>Table810[[#This Row],[Total US$ ]]*$H$1</f>
        <v>522520.34606129432</v>
      </c>
      <c r="I28" s="85" t="s">
        <v>600</v>
      </c>
      <c r="J28" s="96" t="s">
        <v>107</v>
      </c>
      <c r="K28" s="109" t="s">
        <v>329</v>
      </c>
      <c r="L28" s="82" t="s">
        <v>591</v>
      </c>
      <c r="M28" s="112">
        <v>44501</v>
      </c>
      <c r="N28" s="111">
        <v>44681</v>
      </c>
    </row>
    <row r="29" spans="1:14" s="35" customFormat="1" ht="96" x14ac:dyDescent="0.2">
      <c r="A29" s="85" t="s">
        <v>221</v>
      </c>
      <c r="B29" s="85" t="s">
        <v>128</v>
      </c>
      <c r="C29" s="82" t="s">
        <v>75</v>
      </c>
      <c r="D29" s="82" t="s">
        <v>64</v>
      </c>
      <c r="E29" s="82" t="s">
        <v>2</v>
      </c>
      <c r="F29" s="88">
        <f>Table810[[#This Row],[GBP - Amount]]*$F$2</f>
        <v>49643.4</v>
      </c>
      <c r="G29" s="95">
        <v>40035</v>
      </c>
      <c r="H29" s="99">
        <f>Table810[[#This Row],[Total US$ ]]*$H$1</f>
        <v>846419.97000000009</v>
      </c>
      <c r="I29" s="85" t="s">
        <v>600</v>
      </c>
      <c r="J29" s="83" t="s">
        <v>108</v>
      </c>
      <c r="K29" s="109" t="s">
        <v>329</v>
      </c>
      <c r="L29" s="82" t="s">
        <v>592</v>
      </c>
      <c r="M29" s="111">
        <v>44501</v>
      </c>
      <c r="N29" s="111">
        <v>45290</v>
      </c>
    </row>
    <row r="30" spans="1:14" s="35" customFormat="1" ht="64" x14ac:dyDescent="0.2">
      <c r="A30" s="85" t="s">
        <v>222</v>
      </c>
      <c r="B30" s="85" t="s">
        <v>128</v>
      </c>
      <c r="C30" s="82" t="s">
        <v>76</v>
      </c>
      <c r="D30" s="82" t="s">
        <v>65</v>
      </c>
      <c r="E30" s="82" t="s">
        <v>2</v>
      </c>
      <c r="F30" s="88">
        <f>Table810[[#This Row],[GBP - Amount]]*$F$2</f>
        <v>228777.52</v>
      </c>
      <c r="G30" s="95">
        <v>184498</v>
      </c>
      <c r="H30" s="99">
        <f>Table810[[#This Row],[Total US$ ]]*$H$1</f>
        <v>3900656.716</v>
      </c>
      <c r="I30" s="85" t="s">
        <v>600</v>
      </c>
      <c r="J30" s="83" t="s">
        <v>539</v>
      </c>
      <c r="K30" s="109" t="s">
        <v>329</v>
      </c>
      <c r="L30" s="82" t="s">
        <v>593</v>
      </c>
      <c r="M30" s="112">
        <v>44501</v>
      </c>
      <c r="N30" s="111">
        <v>45015</v>
      </c>
    </row>
    <row r="31" spans="1:14" s="35" customFormat="1" ht="48" x14ac:dyDescent="0.2">
      <c r="A31" s="85" t="s">
        <v>223</v>
      </c>
      <c r="B31" s="85" t="s">
        <v>128</v>
      </c>
      <c r="C31" s="82" t="s">
        <v>77</v>
      </c>
      <c r="D31" s="82" t="s">
        <v>18</v>
      </c>
      <c r="E31" s="82" t="s">
        <v>2</v>
      </c>
      <c r="F31" s="88">
        <f>Table810[[#This Row],[GBP - Amount]]*$F$2</f>
        <v>86800</v>
      </c>
      <c r="G31" s="95">
        <v>70000</v>
      </c>
      <c r="H31" s="99">
        <f>Table810[[#This Row],[Total US$ ]]*$H$1</f>
        <v>1479940</v>
      </c>
      <c r="I31" s="85" t="s">
        <v>600</v>
      </c>
      <c r="J31" s="83" t="s">
        <v>107</v>
      </c>
      <c r="K31" s="109" t="s">
        <v>329</v>
      </c>
      <c r="L31" s="82" t="s">
        <v>435</v>
      </c>
      <c r="M31" s="111">
        <v>44927</v>
      </c>
      <c r="N31" s="111"/>
    </row>
    <row r="32" spans="1:14" s="35" customFormat="1" ht="112" x14ac:dyDescent="0.2">
      <c r="A32" s="85" t="s">
        <v>224</v>
      </c>
      <c r="B32" s="85" t="s">
        <v>128</v>
      </c>
      <c r="C32" s="82" t="s">
        <v>78</v>
      </c>
      <c r="D32" s="82" t="s">
        <v>66</v>
      </c>
      <c r="E32" s="82" t="s">
        <v>67</v>
      </c>
      <c r="F32" s="88">
        <f>Table810[[#This Row],[GBP - Amount]]*$F$2</f>
        <v>1179789.9995199998</v>
      </c>
      <c r="G32" s="94">
        <v>951443.54799999995</v>
      </c>
      <c r="H32" s="99">
        <f>Table810[[#This Row],[Total US$ ]]*$H$1</f>
        <v>20115419.491815999</v>
      </c>
      <c r="I32" s="85" t="s">
        <v>600</v>
      </c>
      <c r="J32" s="83" t="s">
        <v>540</v>
      </c>
      <c r="K32" s="109" t="s">
        <v>329</v>
      </c>
      <c r="L32" s="82" t="s">
        <v>436</v>
      </c>
      <c r="M32" s="112">
        <v>44501</v>
      </c>
      <c r="N32" s="111">
        <v>46387</v>
      </c>
    </row>
    <row r="33" spans="1:14" s="35" customFormat="1" ht="64" x14ac:dyDescent="0.2">
      <c r="A33" s="85" t="s">
        <v>225</v>
      </c>
      <c r="B33" s="85" t="s">
        <v>128</v>
      </c>
      <c r="C33" s="82" t="s">
        <v>82</v>
      </c>
      <c r="D33" s="82" t="s">
        <v>18</v>
      </c>
      <c r="E33" s="82"/>
      <c r="F33" s="88">
        <f>Table810[[#This Row],[GBP - Amount]]*$F$2</f>
        <v>867733.4</v>
      </c>
      <c r="G33" s="95">
        <v>699785</v>
      </c>
      <c r="H33" s="99">
        <f>Table810[[#This Row],[Total US$ ]]*$H$1</f>
        <v>14794854.470000001</v>
      </c>
      <c r="I33" s="85" t="s">
        <v>600</v>
      </c>
      <c r="J33" s="83"/>
      <c r="K33" s="109" t="s">
        <v>329</v>
      </c>
      <c r="L33" s="82" t="s">
        <v>437</v>
      </c>
      <c r="M33" s="111">
        <v>45047</v>
      </c>
      <c r="N33" s="111">
        <v>46021</v>
      </c>
    </row>
    <row r="34" spans="1:14" s="35" customFormat="1" ht="48" x14ac:dyDescent="0.2">
      <c r="A34" s="85" t="s">
        <v>226</v>
      </c>
      <c r="B34" s="85" t="s">
        <v>129</v>
      </c>
      <c r="C34" s="82" t="s">
        <v>17</v>
      </c>
      <c r="D34" s="82" t="s">
        <v>594</v>
      </c>
      <c r="E34" s="82" t="s">
        <v>2</v>
      </c>
      <c r="F34" s="88">
        <f>Table810[[#This Row],[GBP - Amount]]*$F$2</f>
        <v>1736000</v>
      </c>
      <c r="G34" s="95">
        <v>1400000</v>
      </c>
      <c r="H34" s="99">
        <f>Table810[[#This Row],[Total US$ ]]*$H$1</f>
        <v>29598800</v>
      </c>
      <c r="I34" s="85" t="s">
        <v>600</v>
      </c>
      <c r="J34" s="83" t="s">
        <v>541</v>
      </c>
      <c r="K34" s="109" t="s">
        <v>329</v>
      </c>
      <c r="L34" s="82" t="s">
        <v>438</v>
      </c>
      <c r="M34" s="111">
        <v>45170</v>
      </c>
      <c r="N34" s="111">
        <v>46022</v>
      </c>
    </row>
    <row r="35" spans="1:14" s="35" customFormat="1" ht="160" x14ac:dyDescent="0.2">
      <c r="A35" s="85" t="s">
        <v>227</v>
      </c>
      <c r="B35" s="85" t="s">
        <v>126</v>
      </c>
      <c r="C35" s="82" t="s">
        <v>180</v>
      </c>
      <c r="D35" s="82" t="s">
        <v>178</v>
      </c>
      <c r="E35" s="82" t="s">
        <v>2</v>
      </c>
      <c r="F35" s="88">
        <f>Table810[[#This Row],[GBP - Amount]]*$F$2</f>
        <v>49600</v>
      </c>
      <c r="G35" s="95">
        <v>40000</v>
      </c>
      <c r="H35" s="99">
        <f>Table810[[#This Row],[Total US$ ]]*$H$1</f>
        <v>845680</v>
      </c>
      <c r="I35" s="85" t="s">
        <v>600</v>
      </c>
      <c r="J35" s="83" t="s">
        <v>542</v>
      </c>
      <c r="K35" s="109" t="s">
        <v>329</v>
      </c>
      <c r="L35" s="82" t="s">
        <v>439</v>
      </c>
      <c r="M35" s="111">
        <v>45170</v>
      </c>
      <c r="N35" s="111">
        <v>45200</v>
      </c>
    </row>
    <row r="36" spans="1:14" s="2" customFormat="1" ht="80" x14ac:dyDescent="0.2">
      <c r="A36" s="85" t="s">
        <v>228</v>
      </c>
      <c r="B36" s="85" t="s">
        <v>129</v>
      </c>
      <c r="C36" s="82" t="s">
        <v>181</v>
      </c>
      <c r="D36" s="82" t="s">
        <v>182</v>
      </c>
      <c r="E36" s="82" t="s">
        <v>2</v>
      </c>
      <c r="F36" s="88">
        <f>Table810[[#This Row],[GBP - Amount]]*$F$2</f>
        <v>36506.839999999997</v>
      </c>
      <c r="G36" s="95">
        <v>29441</v>
      </c>
      <c r="H36" s="99">
        <f>Table810[[#This Row],[Total US$ ]]*$H$1</f>
        <v>622441.62199999997</v>
      </c>
      <c r="I36" s="85" t="s">
        <v>600</v>
      </c>
      <c r="J36" s="83"/>
      <c r="K36" s="109" t="s">
        <v>329</v>
      </c>
      <c r="L36" s="82" t="s">
        <v>440</v>
      </c>
      <c r="M36" s="111">
        <v>45170</v>
      </c>
      <c r="N36" s="111">
        <v>45595</v>
      </c>
    </row>
    <row r="37" spans="1:14" s="2" customFormat="1" ht="48" x14ac:dyDescent="0.2">
      <c r="A37" s="85" t="s">
        <v>597</v>
      </c>
      <c r="B37" s="85" t="s">
        <v>129</v>
      </c>
      <c r="C37" s="81" t="s">
        <v>595</v>
      </c>
      <c r="D37" s="81" t="s">
        <v>179</v>
      </c>
      <c r="E37" s="81"/>
      <c r="F37" s="88">
        <f>Table810[[#This Row],[GBP - Amount]]*$F$2</f>
        <v>558000</v>
      </c>
      <c r="G37" s="88">
        <v>450000</v>
      </c>
      <c r="H37" s="99">
        <f>Table810[[#This Row],[Total US$ ]]*$H$1</f>
        <v>9513900</v>
      </c>
      <c r="I37" s="85" t="s">
        <v>600</v>
      </c>
      <c r="J37" s="96" t="s">
        <v>596</v>
      </c>
      <c r="K37" s="109" t="s">
        <v>329</v>
      </c>
      <c r="L37" s="81"/>
      <c r="M37" s="111">
        <v>45108</v>
      </c>
      <c r="N37" s="111">
        <v>45382</v>
      </c>
    </row>
    <row r="38" spans="1:14" s="39" customFormat="1" ht="208" x14ac:dyDescent="0.2">
      <c r="A38" s="85" t="s">
        <v>320</v>
      </c>
      <c r="B38" s="85" t="s">
        <v>129</v>
      </c>
      <c r="C38" s="81" t="s">
        <v>324</v>
      </c>
      <c r="D38" s="81" t="s">
        <v>179</v>
      </c>
      <c r="E38" s="81" t="s">
        <v>2</v>
      </c>
      <c r="F38" s="88">
        <f>Table810[[#This Row],[GBP - Amount]]*$F$2</f>
        <v>248000</v>
      </c>
      <c r="G38" s="94">
        <v>200000</v>
      </c>
      <c r="H38" s="87">
        <f>Table810[[#This Row],[Total US$ ]]*$H$1</f>
        <v>4228400</v>
      </c>
      <c r="I38" s="85" t="s">
        <v>600</v>
      </c>
      <c r="J38" s="83" t="s">
        <v>325</v>
      </c>
      <c r="K38" s="110" t="s">
        <v>329</v>
      </c>
      <c r="L38" s="82" t="s">
        <v>441</v>
      </c>
      <c r="M38" s="111">
        <v>45139</v>
      </c>
      <c r="N38" s="111">
        <v>45323</v>
      </c>
    </row>
    <row r="39" spans="1:14" s="73" customFormat="1" ht="231" customHeight="1" x14ac:dyDescent="0.2">
      <c r="A39" s="85" t="s">
        <v>321</v>
      </c>
      <c r="B39" s="85" t="s">
        <v>129</v>
      </c>
      <c r="C39" s="82" t="s">
        <v>401</v>
      </c>
      <c r="D39" s="81" t="s">
        <v>177</v>
      </c>
      <c r="E39" s="81" t="s">
        <v>2</v>
      </c>
      <c r="F39" s="88">
        <f>Table810[[#This Row],[GBP - Amount]]*$F$2</f>
        <v>372000</v>
      </c>
      <c r="G39" s="95">
        <v>300000</v>
      </c>
      <c r="H39" s="99">
        <f>Table810[[#This Row],[Total US$ ]]*$H$1</f>
        <v>6342600</v>
      </c>
      <c r="I39" s="85" t="s">
        <v>600</v>
      </c>
      <c r="J39" s="83" t="s">
        <v>543</v>
      </c>
      <c r="K39" s="110" t="s">
        <v>329</v>
      </c>
      <c r="L39" s="82" t="s">
        <v>442</v>
      </c>
      <c r="M39" s="112"/>
      <c r="N39" s="112"/>
    </row>
    <row r="40" spans="1:14" s="35" customFormat="1" ht="216" customHeight="1" x14ac:dyDescent="0.2">
      <c r="A40" s="85" t="s">
        <v>322</v>
      </c>
      <c r="B40" s="85" t="s">
        <v>125</v>
      </c>
      <c r="C40" s="82" t="s">
        <v>326</v>
      </c>
      <c r="D40" s="96" t="s">
        <v>66</v>
      </c>
      <c r="E40" s="81" t="s">
        <v>2</v>
      </c>
      <c r="F40" s="88">
        <f>Table810[[#This Row],[GBP - Amount]]*$F$2</f>
        <v>2900000.0032000002</v>
      </c>
      <c r="G40" s="94">
        <v>2338709.6800000002</v>
      </c>
      <c r="H40" s="99">
        <f>Table810[[#This Row],[Total US$ ]]*$H$1</f>
        <v>49445000.054560006</v>
      </c>
      <c r="I40" s="85" t="s">
        <v>600</v>
      </c>
      <c r="J40" s="96" t="s">
        <v>544</v>
      </c>
      <c r="K40" s="110" t="s">
        <v>329</v>
      </c>
      <c r="L40" s="82" t="s">
        <v>443</v>
      </c>
      <c r="M40" s="111">
        <v>44501</v>
      </c>
      <c r="N40" s="111">
        <v>46387</v>
      </c>
    </row>
    <row r="41" spans="1:14" s="35" customFormat="1" ht="224" x14ac:dyDescent="0.2">
      <c r="A41" s="85" t="s">
        <v>323</v>
      </c>
      <c r="B41" s="85" t="s">
        <v>125</v>
      </c>
      <c r="C41" s="82" t="s">
        <v>326</v>
      </c>
      <c r="D41" s="82" t="s">
        <v>66</v>
      </c>
      <c r="E41" s="81" t="s">
        <v>2</v>
      </c>
      <c r="F41" s="88">
        <f>Table810[[#This Row],[GBP - Amount]]*$F$2</f>
        <v>2900000.0032000002</v>
      </c>
      <c r="G41" s="94">
        <v>2338709.6800000002</v>
      </c>
      <c r="H41" s="99">
        <f>Table810[[#This Row],[Total US$ ]]*$H$1</f>
        <v>49445000.054560006</v>
      </c>
      <c r="I41" s="85" t="s">
        <v>600</v>
      </c>
      <c r="J41" s="83" t="s">
        <v>545</v>
      </c>
      <c r="K41" s="110" t="s">
        <v>329</v>
      </c>
      <c r="L41" s="82" t="s">
        <v>444</v>
      </c>
      <c r="M41" s="111">
        <v>44501</v>
      </c>
      <c r="N41" s="111">
        <v>46387</v>
      </c>
    </row>
    <row r="42" spans="1:14" x14ac:dyDescent="0.2">
      <c r="B42" s="6"/>
      <c r="C42" s="28"/>
      <c r="D42" s="28"/>
      <c r="E42" s="28"/>
      <c r="F42" s="97">
        <f>SUBTOTAL(109,Table810[Total US$ ])</f>
        <v>31195998.221388236</v>
      </c>
      <c r="G42" s="69">
        <f>SUBTOTAL(109,Table810[GBP - Amount])</f>
        <v>25158063.081764705</v>
      </c>
      <c r="H42" s="80">
        <f>SUBTOTAL(109,Table810[Total ZAR])</f>
        <v>531891769.67466944</v>
      </c>
      <c r="I42" s="6"/>
      <c r="J42" s="56"/>
      <c r="K42" s="58"/>
      <c r="L42" s="28"/>
      <c r="M42" s="57"/>
      <c r="N42" s="57"/>
    </row>
    <row r="43" spans="1:14" x14ac:dyDescent="0.2">
      <c r="A43" s="35"/>
      <c r="B43" s="6"/>
      <c r="C43" s="19"/>
      <c r="D43" s="14"/>
      <c r="E43" s="19"/>
      <c r="F43" s="32"/>
      <c r="G43" s="32"/>
      <c r="H43" s="31"/>
      <c r="I43" s="6"/>
      <c r="J43" s="21"/>
      <c r="K43" s="59"/>
      <c r="L43" s="19"/>
      <c r="M43" s="22"/>
      <c r="N43" s="22"/>
    </row>
    <row r="44" spans="1:14" ht="30" customHeight="1" x14ac:dyDescent="0.2">
      <c r="A44" s="125" t="s">
        <v>589</v>
      </c>
      <c r="B44" s="125"/>
      <c r="C44" s="125"/>
      <c r="D44" s="125"/>
      <c r="E44" s="125"/>
      <c r="F44" s="125"/>
      <c r="G44" s="125"/>
      <c r="H44" s="125"/>
      <c r="I44" s="125"/>
      <c r="J44" s="125"/>
      <c r="K44" s="125"/>
      <c r="L44" s="125"/>
      <c r="M44" s="125"/>
      <c r="N44" s="125"/>
    </row>
    <row r="45" spans="1:14" x14ac:dyDescent="0.2">
      <c r="B45" s="1"/>
      <c r="F45" s="1"/>
      <c r="G45" s="1"/>
      <c r="H45" s="8"/>
      <c r="I45" s="1"/>
      <c r="J45" s="3"/>
      <c r="L45" s="19"/>
      <c r="M45" s="22"/>
      <c r="N45" s="22"/>
    </row>
    <row r="46" spans="1:14" x14ac:dyDescent="0.2">
      <c r="A46" s="125" t="s">
        <v>590</v>
      </c>
      <c r="B46" s="125"/>
      <c r="C46" s="125"/>
      <c r="D46" s="125"/>
      <c r="E46" s="125"/>
      <c r="F46" s="125"/>
      <c r="G46" s="125"/>
      <c r="H46" s="125"/>
      <c r="I46" s="125"/>
      <c r="J46" s="125"/>
      <c r="K46" s="125"/>
      <c r="L46" s="19"/>
      <c r="M46" s="22"/>
      <c r="N46" s="22"/>
    </row>
    <row r="47" spans="1:14" x14ac:dyDescent="0.2">
      <c r="A47" s="35"/>
      <c r="B47" s="6"/>
      <c r="C47" s="19"/>
      <c r="D47" s="14"/>
      <c r="E47" s="19"/>
      <c r="F47" s="32"/>
      <c r="G47" s="32"/>
      <c r="H47" s="31"/>
      <c r="I47" s="6"/>
      <c r="J47" s="21"/>
      <c r="K47" s="59"/>
      <c r="L47" s="19"/>
      <c r="M47" s="22"/>
      <c r="N47" s="22"/>
    </row>
    <row r="48" spans="1:14" x14ac:dyDescent="0.2">
      <c r="A48" s="35"/>
      <c r="B48" s="6"/>
      <c r="C48" s="19"/>
      <c r="D48" s="14"/>
      <c r="E48" s="19"/>
      <c r="F48" s="32"/>
      <c r="G48" s="32"/>
      <c r="H48" s="31"/>
      <c r="I48" s="6"/>
      <c r="J48" s="21"/>
      <c r="K48" s="59"/>
      <c r="L48" s="19"/>
      <c r="M48" s="22"/>
      <c r="N48" s="22"/>
    </row>
    <row r="49" spans="1:14" x14ac:dyDescent="0.2">
      <c r="A49" s="35"/>
      <c r="B49" s="6"/>
      <c r="C49" s="19"/>
      <c r="D49" s="14"/>
      <c r="E49" s="19"/>
      <c r="F49" s="32"/>
      <c r="G49" s="32"/>
      <c r="H49" s="31"/>
      <c r="I49" s="6"/>
      <c r="J49" s="21"/>
      <c r="K49" s="59"/>
      <c r="L49" s="19"/>
      <c r="M49" s="22"/>
      <c r="N49" s="22"/>
    </row>
    <row r="50" spans="1:14" x14ac:dyDescent="0.2">
      <c r="A50" s="35"/>
      <c r="B50" s="6"/>
      <c r="C50" s="19"/>
      <c r="D50" s="14"/>
      <c r="E50" s="19"/>
      <c r="F50" s="32"/>
      <c r="G50" s="32"/>
      <c r="H50" s="31"/>
      <c r="I50" s="6"/>
      <c r="J50" s="21"/>
      <c r="K50" s="59"/>
      <c r="L50" s="19"/>
      <c r="M50" s="22"/>
      <c r="N50" s="22"/>
    </row>
    <row r="51" spans="1:14" x14ac:dyDescent="0.2">
      <c r="A51" s="35"/>
      <c r="B51" s="6"/>
      <c r="C51" s="19"/>
      <c r="D51" s="14"/>
      <c r="E51" s="19"/>
      <c r="F51" s="32"/>
      <c r="G51" s="66"/>
      <c r="H51" s="31"/>
      <c r="I51" s="6"/>
      <c r="J51" s="21"/>
      <c r="K51" s="59"/>
      <c r="L51" s="19"/>
      <c r="M51" s="22"/>
      <c r="N51" s="22"/>
    </row>
    <row r="52" spans="1:14" x14ac:dyDescent="0.2">
      <c r="A52" s="35"/>
      <c r="B52" s="6"/>
      <c r="C52" s="19"/>
      <c r="D52" s="14"/>
      <c r="E52" s="19"/>
      <c r="F52" s="32"/>
      <c r="G52" s="32"/>
      <c r="H52" s="31"/>
      <c r="I52" s="6"/>
      <c r="J52" s="21"/>
      <c r="K52" s="59"/>
      <c r="L52" s="19"/>
      <c r="M52" s="22"/>
      <c r="N52" s="22"/>
    </row>
    <row r="53" spans="1:14" x14ac:dyDescent="0.2">
      <c r="A53" s="35"/>
      <c r="B53" s="6"/>
      <c r="C53" s="19"/>
      <c r="D53" s="14"/>
      <c r="E53" s="19"/>
      <c r="F53" s="32"/>
      <c r="G53" s="32"/>
      <c r="H53" s="31"/>
      <c r="I53" s="6"/>
      <c r="J53" s="21"/>
      <c r="K53" s="59"/>
      <c r="L53" s="19"/>
      <c r="M53" s="22"/>
      <c r="N53" s="22"/>
    </row>
    <row r="54" spans="1:14" x14ac:dyDescent="0.2">
      <c r="A54" s="35"/>
      <c r="B54" s="6"/>
      <c r="C54" s="19"/>
      <c r="D54" s="14"/>
      <c r="E54" s="19"/>
      <c r="F54" s="32"/>
      <c r="G54" s="32"/>
      <c r="H54" s="31"/>
      <c r="I54" s="6"/>
      <c r="J54" s="21"/>
      <c r="K54" s="59"/>
      <c r="L54" s="19"/>
      <c r="M54" s="22"/>
      <c r="N54" s="22"/>
    </row>
    <row r="55" spans="1:14" x14ac:dyDescent="0.2">
      <c r="A55" s="35"/>
      <c r="B55" s="6"/>
      <c r="C55" s="19"/>
      <c r="D55" s="14"/>
      <c r="E55" s="19"/>
      <c r="F55" s="32"/>
      <c r="G55" s="32"/>
      <c r="H55" s="31"/>
      <c r="I55" s="6"/>
      <c r="J55" s="21"/>
      <c r="K55" s="59"/>
      <c r="L55" s="19"/>
      <c r="M55" s="22"/>
      <c r="N55" s="22"/>
    </row>
    <row r="56" spans="1:14" x14ac:dyDescent="0.2">
      <c r="A56" s="35"/>
      <c r="B56" s="6"/>
      <c r="C56" s="19"/>
      <c r="D56" s="14"/>
      <c r="E56" s="19"/>
      <c r="F56" s="32"/>
      <c r="G56" s="32"/>
      <c r="H56" s="31"/>
      <c r="I56" s="6"/>
      <c r="J56" s="21"/>
      <c r="K56" s="59"/>
      <c r="L56" s="19"/>
      <c r="M56" s="22"/>
      <c r="N56" s="22"/>
    </row>
    <row r="57" spans="1:14" x14ac:dyDescent="0.2">
      <c r="A57" s="35"/>
      <c r="B57" s="6"/>
      <c r="C57" s="19"/>
      <c r="D57" s="14"/>
      <c r="E57" s="19"/>
      <c r="F57" s="32"/>
      <c r="G57" s="32"/>
      <c r="H57" s="31"/>
      <c r="I57" s="6"/>
      <c r="J57" s="21"/>
      <c r="K57" s="59"/>
      <c r="L57" s="19"/>
      <c r="M57" s="22"/>
      <c r="N57" s="22"/>
    </row>
    <row r="58" spans="1:14" x14ac:dyDescent="0.2">
      <c r="A58" s="35"/>
      <c r="B58" s="6"/>
      <c r="C58" s="19"/>
      <c r="D58" s="14"/>
      <c r="E58" s="19"/>
      <c r="F58" s="32"/>
      <c r="G58" s="32"/>
      <c r="H58" s="31"/>
      <c r="I58" s="6"/>
      <c r="J58" s="21"/>
      <c r="K58" s="59"/>
      <c r="L58" s="19"/>
      <c r="M58" s="22"/>
      <c r="N58" s="22"/>
    </row>
    <row r="59" spans="1:14" x14ac:dyDescent="0.2">
      <c r="A59" s="35"/>
      <c r="B59" s="6"/>
      <c r="C59" s="19"/>
      <c r="D59" s="14"/>
      <c r="E59" s="19"/>
      <c r="F59" s="32"/>
      <c r="G59" s="32"/>
      <c r="H59" s="31"/>
      <c r="I59" s="6"/>
      <c r="J59" s="21"/>
      <c r="K59" s="59"/>
      <c r="L59" s="19"/>
      <c r="M59" s="22"/>
      <c r="N59" s="22"/>
    </row>
    <row r="60" spans="1:14" x14ac:dyDescent="0.2">
      <c r="A60" s="35"/>
      <c r="B60" s="6"/>
      <c r="C60" s="19"/>
      <c r="D60" s="14"/>
      <c r="E60" s="19"/>
      <c r="F60" s="32"/>
      <c r="G60" s="32"/>
      <c r="H60" s="31"/>
      <c r="I60" s="6"/>
      <c r="J60" s="21"/>
      <c r="K60" s="59"/>
      <c r="L60" s="19"/>
      <c r="M60" s="22"/>
      <c r="N60" s="22"/>
    </row>
    <row r="61" spans="1:14" x14ac:dyDescent="0.2">
      <c r="A61" s="35"/>
      <c r="B61" s="6"/>
      <c r="C61" s="19"/>
      <c r="D61" s="14"/>
      <c r="E61" s="19"/>
      <c r="F61" s="32"/>
      <c r="G61" s="32"/>
      <c r="H61" s="31"/>
      <c r="I61" s="6"/>
      <c r="J61" s="21"/>
      <c r="K61" s="59"/>
      <c r="L61" s="19"/>
      <c r="M61" s="22"/>
      <c r="N61" s="22"/>
    </row>
    <row r="62" spans="1:14" x14ac:dyDescent="0.2">
      <c r="A62" s="35"/>
      <c r="B62" s="6"/>
      <c r="C62" s="19"/>
      <c r="D62" s="14"/>
      <c r="E62" s="19"/>
      <c r="F62" s="32"/>
      <c r="G62" s="32"/>
      <c r="H62" s="31"/>
      <c r="I62" s="6"/>
      <c r="J62" s="21"/>
      <c r="K62" s="59"/>
      <c r="L62" s="19"/>
      <c r="M62" s="22"/>
      <c r="N62" s="22"/>
    </row>
    <row r="63" spans="1:14" x14ac:dyDescent="0.2">
      <c r="A63" s="35"/>
      <c r="B63" s="6"/>
      <c r="C63" s="19"/>
      <c r="D63" s="14"/>
      <c r="E63" s="19"/>
      <c r="F63" s="32"/>
      <c r="G63" s="32"/>
      <c r="H63" s="31"/>
      <c r="I63" s="6"/>
      <c r="J63" s="21"/>
      <c r="K63" s="59"/>
      <c r="L63" s="19"/>
      <c r="M63" s="22"/>
      <c r="N63" s="22"/>
    </row>
    <row r="64" spans="1:14" x14ac:dyDescent="0.2">
      <c r="A64" s="35"/>
      <c r="B64" s="6"/>
      <c r="C64" s="19"/>
      <c r="D64" s="14"/>
      <c r="E64" s="19"/>
      <c r="F64" s="32"/>
      <c r="G64" s="32"/>
      <c r="H64" s="31"/>
      <c r="I64" s="6"/>
      <c r="J64" s="21"/>
      <c r="K64" s="59"/>
      <c r="L64" s="19"/>
      <c r="M64" s="22"/>
      <c r="N64" s="22"/>
    </row>
    <row r="65" spans="1:14" x14ac:dyDescent="0.2">
      <c r="A65" s="35"/>
      <c r="B65" s="6"/>
      <c r="C65" s="19"/>
      <c r="D65" s="14"/>
      <c r="E65" s="19"/>
      <c r="F65" s="32"/>
      <c r="G65" s="32"/>
      <c r="H65" s="31"/>
      <c r="I65" s="6"/>
      <c r="J65" s="21"/>
      <c r="K65" s="59"/>
      <c r="L65" s="19"/>
      <c r="M65" s="22"/>
      <c r="N65" s="22"/>
    </row>
    <row r="66" spans="1:14" x14ac:dyDescent="0.2">
      <c r="A66" s="35"/>
      <c r="B66" s="6"/>
      <c r="C66" s="19"/>
      <c r="D66" s="14"/>
      <c r="E66" s="19"/>
      <c r="F66" s="32"/>
      <c r="G66" s="32"/>
      <c r="H66" s="31"/>
      <c r="I66" s="6"/>
      <c r="J66" s="21"/>
      <c r="K66" s="59"/>
      <c r="L66" s="19"/>
      <c r="M66" s="22"/>
      <c r="N66" s="22"/>
    </row>
    <row r="67" spans="1:14" x14ac:dyDescent="0.2">
      <c r="A67" s="35"/>
      <c r="B67" s="6"/>
      <c r="C67" s="19"/>
      <c r="D67" s="14"/>
      <c r="E67" s="19"/>
      <c r="F67" s="32"/>
      <c r="G67" s="32"/>
      <c r="H67" s="31"/>
      <c r="I67" s="6"/>
      <c r="J67" s="21"/>
      <c r="K67" s="59"/>
      <c r="L67" s="19"/>
      <c r="M67" s="22"/>
      <c r="N67" s="22"/>
    </row>
    <row r="68" spans="1:14" x14ac:dyDescent="0.2">
      <c r="A68" s="35"/>
      <c r="B68" s="6"/>
      <c r="C68" s="19"/>
      <c r="D68" s="14"/>
      <c r="E68" s="19"/>
      <c r="F68" s="32"/>
      <c r="G68" s="32"/>
      <c r="H68" s="31"/>
      <c r="I68" s="6"/>
      <c r="J68" s="21"/>
      <c r="K68" s="59"/>
      <c r="L68" s="19"/>
      <c r="M68" s="22"/>
      <c r="N68" s="22"/>
    </row>
    <row r="69" spans="1:14" x14ac:dyDescent="0.2">
      <c r="A69" s="35"/>
      <c r="B69" s="6"/>
      <c r="C69" s="19"/>
      <c r="D69" s="14"/>
      <c r="E69" s="19"/>
      <c r="F69" s="32"/>
      <c r="G69" s="32"/>
      <c r="H69" s="31"/>
      <c r="I69" s="6"/>
      <c r="J69" s="21"/>
      <c r="K69" s="59"/>
      <c r="L69" s="19"/>
      <c r="M69" s="22"/>
      <c r="N69" s="22"/>
    </row>
    <row r="70" spans="1:14" x14ac:dyDescent="0.2">
      <c r="A70" s="35"/>
      <c r="B70" s="6"/>
      <c r="C70" s="19"/>
      <c r="D70" s="14"/>
      <c r="E70" s="19"/>
      <c r="F70" s="32"/>
      <c r="G70" s="32"/>
      <c r="H70" s="31"/>
      <c r="I70" s="6"/>
      <c r="J70" s="21"/>
      <c r="K70" s="59"/>
      <c r="L70" s="19"/>
      <c r="M70" s="22"/>
      <c r="N70" s="22"/>
    </row>
    <row r="71" spans="1:14" x14ac:dyDescent="0.2">
      <c r="A71" s="35"/>
      <c r="B71" s="6"/>
      <c r="C71" s="19"/>
      <c r="D71" s="14"/>
      <c r="E71" s="19"/>
      <c r="F71" s="32"/>
      <c r="G71" s="32"/>
      <c r="H71" s="31"/>
      <c r="I71" s="6"/>
      <c r="J71" s="21"/>
      <c r="K71" s="59"/>
      <c r="L71" s="19"/>
      <c r="M71" s="22"/>
      <c r="N71" s="22"/>
    </row>
    <row r="72" spans="1:14" x14ac:dyDescent="0.2">
      <c r="A72" s="35"/>
      <c r="B72" s="6"/>
      <c r="C72" s="19"/>
      <c r="D72" s="14"/>
      <c r="E72" s="19"/>
      <c r="F72" s="32"/>
      <c r="G72" s="32"/>
      <c r="H72" s="31"/>
      <c r="I72" s="6"/>
      <c r="J72" s="21"/>
      <c r="K72" s="59"/>
      <c r="L72" s="19"/>
      <c r="M72" s="22"/>
      <c r="N72" s="22"/>
    </row>
    <row r="73" spans="1:14" x14ac:dyDescent="0.2">
      <c r="A73" s="35"/>
      <c r="B73" s="6"/>
      <c r="C73" s="19"/>
      <c r="D73" s="14"/>
      <c r="E73" s="19"/>
      <c r="F73" s="32"/>
      <c r="G73" s="32"/>
      <c r="H73" s="31"/>
      <c r="I73" s="6"/>
      <c r="J73" s="21"/>
      <c r="K73" s="59"/>
      <c r="L73" s="19"/>
      <c r="M73" s="22"/>
      <c r="N73" s="22"/>
    </row>
    <row r="74" spans="1:14" x14ac:dyDescent="0.2">
      <c r="A74" s="35"/>
      <c r="B74" s="6"/>
      <c r="C74" s="19"/>
      <c r="D74" s="14"/>
      <c r="E74" s="19"/>
      <c r="F74" s="32"/>
      <c r="G74" s="32"/>
      <c r="H74" s="31"/>
      <c r="I74" s="6"/>
      <c r="J74" s="21"/>
      <c r="K74" s="59"/>
      <c r="L74" s="19"/>
      <c r="M74" s="22"/>
      <c r="N74" s="22"/>
    </row>
    <row r="75" spans="1:14" x14ac:dyDescent="0.2">
      <c r="A75" s="35"/>
      <c r="B75" s="6"/>
      <c r="C75" s="19"/>
      <c r="D75" s="14"/>
      <c r="E75" s="19"/>
      <c r="F75" s="32"/>
      <c r="G75" s="32"/>
      <c r="H75" s="31"/>
      <c r="I75" s="6"/>
      <c r="J75" s="21"/>
      <c r="K75" s="59"/>
      <c r="L75" s="19"/>
      <c r="M75" s="22"/>
      <c r="N75" s="22"/>
    </row>
    <row r="76" spans="1:14" x14ac:dyDescent="0.2">
      <c r="A76" s="35"/>
      <c r="B76" s="6"/>
      <c r="C76" s="19"/>
      <c r="D76" s="14"/>
      <c r="E76" s="19"/>
      <c r="F76" s="32"/>
      <c r="G76" s="32"/>
      <c r="H76" s="31"/>
      <c r="I76" s="6"/>
      <c r="J76" s="21"/>
      <c r="K76" s="59"/>
      <c r="L76" s="19"/>
      <c r="M76" s="22"/>
      <c r="N76" s="22"/>
    </row>
    <row r="77" spans="1:14" x14ac:dyDescent="0.2">
      <c r="A77" s="35"/>
      <c r="B77" s="6"/>
      <c r="C77" s="19"/>
      <c r="D77" s="14"/>
      <c r="E77" s="19"/>
      <c r="F77" s="32"/>
      <c r="G77" s="32"/>
      <c r="H77" s="31"/>
      <c r="I77" s="6"/>
      <c r="J77" s="21"/>
      <c r="K77" s="59"/>
      <c r="L77" s="19"/>
      <c r="M77" s="22"/>
      <c r="N77" s="22"/>
    </row>
    <row r="78" spans="1:14" x14ac:dyDescent="0.2">
      <c r="A78" s="35"/>
      <c r="B78" s="6"/>
      <c r="C78" s="19"/>
      <c r="D78" s="14"/>
      <c r="E78" s="19"/>
      <c r="F78" s="32"/>
      <c r="G78" s="32"/>
      <c r="H78" s="31"/>
      <c r="I78" s="6"/>
      <c r="J78" s="21"/>
      <c r="K78" s="59"/>
      <c r="L78" s="19"/>
      <c r="M78" s="22"/>
      <c r="N78" s="22"/>
    </row>
    <row r="79" spans="1:14" x14ac:dyDescent="0.2">
      <c r="A79" s="35"/>
      <c r="B79" s="6"/>
      <c r="C79" s="19"/>
      <c r="D79" s="14"/>
      <c r="E79" s="19"/>
      <c r="F79" s="32"/>
      <c r="G79" s="32"/>
      <c r="H79" s="31"/>
      <c r="I79" s="6"/>
      <c r="J79" s="21"/>
      <c r="K79" s="59"/>
      <c r="L79" s="19"/>
      <c r="M79" s="22"/>
      <c r="N79" s="22"/>
    </row>
    <row r="80" spans="1:14" x14ac:dyDescent="0.2">
      <c r="A80" s="35"/>
      <c r="B80" s="6"/>
      <c r="C80" s="19"/>
      <c r="D80" s="14"/>
      <c r="E80" s="19"/>
      <c r="F80" s="32"/>
      <c r="G80" s="32"/>
      <c r="H80" s="31"/>
      <c r="I80" s="6"/>
      <c r="J80" s="21"/>
      <c r="K80" s="59"/>
      <c r="L80" s="19"/>
      <c r="M80" s="22"/>
      <c r="N80" s="22"/>
    </row>
    <row r="81" spans="1:14" x14ac:dyDescent="0.2">
      <c r="A81" s="35"/>
      <c r="B81" s="6"/>
      <c r="C81" s="19"/>
      <c r="D81" s="14"/>
      <c r="E81" s="19"/>
      <c r="F81" s="32"/>
      <c r="G81" s="32"/>
      <c r="H81" s="31"/>
      <c r="I81" s="6"/>
      <c r="J81" s="21"/>
      <c r="K81" s="59"/>
      <c r="L81" s="19"/>
      <c r="M81" s="22"/>
      <c r="N81" s="22"/>
    </row>
    <row r="82" spans="1:14" x14ac:dyDescent="0.2">
      <c r="A82" s="35"/>
      <c r="B82" s="6"/>
      <c r="C82" s="19"/>
      <c r="D82" s="14"/>
      <c r="E82" s="19"/>
      <c r="F82" s="32"/>
      <c r="G82" s="32"/>
      <c r="H82" s="31"/>
      <c r="I82" s="6"/>
      <c r="J82" s="21"/>
      <c r="K82" s="59"/>
      <c r="L82" s="19"/>
      <c r="M82" s="22"/>
      <c r="N82" s="22"/>
    </row>
    <row r="83" spans="1:14" x14ac:dyDescent="0.2">
      <c r="A83" s="35"/>
      <c r="B83" s="6"/>
      <c r="C83" s="19"/>
      <c r="D83" s="14"/>
      <c r="E83" s="19"/>
      <c r="F83" s="32"/>
      <c r="G83" s="32"/>
      <c r="H83" s="31"/>
      <c r="I83" s="6"/>
      <c r="J83" s="21"/>
      <c r="K83" s="59"/>
      <c r="L83" s="19"/>
      <c r="M83" s="22"/>
      <c r="N83" s="22"/>
    </row>
    <row r="84" spans="1:14" x14ac:dyDescent="0.2">
      <c r="A84" s="35"/>
      <c r="B84" s="6"/>
      <c r="C84" s="19"/>
      <c r="D84" s="14"/>
      <c r="E84" s="19"/>
      <c r="F84" s="32"/>
      <c r="G84" s="32"/>
      <c r="H84" s="31"/>
      <c r="I84" s="6"/>
      <c r="J84" s="21"/>
      <c r="K84" s="59"/>
      <c r="L84" s="19"/>
      <c r="M84" s="22"/>
      <c r="N84" s="22"/>
    </row>
    <row r="85" spans="1:14" x14ac:dyDescent="0.2">
      <c r="A85" s="35"/>
      <c r="B85" s="6"/>
      <c r="C85" s="19"/>
      <c r="D85" s="14"/>
      <c r="E85" s="19"/>
      <c r="F85" s="32"/>
      <c r="G85" s="32"/>
      <c r="H85" s="31"/>
      <c r="I85" s="6"/>
      <c r="J85" s="21"/>
      <c r="K85" s="59"/>
      <c r="L85" s="19"/>
      <c r="M85" s="22"/>
      <c r="N85" s="22"/>
    </row>
    <row r="86" spans="1:14" x14ac:dyDescent="0.2">
      <c r="A86" s="35"/>
      <c r="B86" s="6"/>
      <c r="C86" s="19"/>
      <c r="D86" s="14"/>
      <c r="E86" s="19"/>
      <c r="F86" s="32"/>
      <c r="G86" s="32"/>
      <c r="H86" s="31"/>
      <c r="I86" s="6"/>
      <c r="J86" s="21"/>
      <c r="K86" s="59"/>
      <c r="L86" s="19"/>
      <c r="M86" s="22"/>
      <c r="N86" s="22"/>
    </row>
    <row r="87" spans="1:14" x14ac:dyDescent="0.2">
      <c r="A87" s="35"/>
      <c r="B87" s="6"/>
      <c r="C87" s="19"/>
      <c r="D87" s="14"/>
      <c r="E87" s="19"/>
      <c r="F87" s="32"/>
      <c r="G87" s="32"/>
      <c r="H87" s="31"/>
      <c r="I87" s="6"/>
      <c r="J87" s="21"/>
      <c r="K87" s="59"/>
      <c r="L87" s="19"/>
      <c r="M87" s="22"/>
      <c r="N87" s="22"/>
    </row>
    <row r="88" spans="1:14" x14ac:dyDescent="0.2">
      <c r="A88" s="35"/>
      <c r="B88" s="6"/>
      <c r="C88" s="19"/>
      <c r="D88" s="14"/>
      <c r="E88" s="19"/>
      <c r="F88" s="32"/>
      <c r="G88" s="32"/>
      <c r="H88" s="31"/>
      <c r="I88" s="6"/>
      <c r="J88" s="21"/>
      <c r="K88" s="59"/>
      <c r="L88" s="19"/>
      <c r="M88" s="22"/>
      <c r="N88" s="22"/>
    </row>
    <row r="89" spans="1:14" x14ac:dyDescent="0.2">
      <c r="A89" s="35"/>
      <c r="B89" s="6"/>
      <c r="C89" s="19"/>
      <c r="D89" s="14"/>
      <c r="E89" s="19"/>
      <c r="F89" s="32"/>
      <c r="G89" s="32"/>
      <c r="H89" s="31"/>
      <c r="I89" s="6"/>
      <c r="J89" s="21"/>
      <c r="K89" s="59"/>
      <c r="L89" s="19"/>
      <c r="M89" s="22"/>
      <c r="N89" s="22"/>
    </row>
    <row r="90" spans="1:14" x14ac:dyDescent="0.2">
      <c r="A90" s="35"/>
      <c r="B90" s="6"/>
      <c r="C90" s="19"/>
      <c r="D90" s="14"/>
      <c r="E90" s="19"/>
      <c r="F90" s="32"/>
      <c r="G90" s="32"/>
      <c r="H90" s="31"/>
      <c r="I90" s="6"/>
      <c r="J90" s="21"/>
      <c r="K90" s="59"/>
      <c r="L90" s="19"/>
      <c r="M90" s="22"/>
      <c r="N90" s="22"/>
    </row>
    <row r="91" spans="1:14" x14ac:dyDescent="0.2">
      <c r="A91" s="35"/>
      <c r="B91" s="6"/>
      <c r="C91" s="19"/>
      <c r="D91" s="14"/>
      <c r="E91" s="19"/>
      <c r="F91" s="32"/>
      <c r="G91" s="32"/>
      <c r="H91" s="31"/>
      <c r="I91" s="6"/>
      <c r="J91" s="21"/>
      <c r="K91" s="59"/>
      <c r="L91" s="19"/>
      <c r="M91" s="22"/>
      <c r="N91" s="22"/>
    </row>
    <row r="92" spans="1:14" x14ac:dyDescent="0.2">
      <c r="A92" s="35"/>
      <c r="B92" s="6"/>
      <c r="C92" s="19"/>
      <c r="D92" s="14"/>
      <c r="E92" s="19"/>
      <c r="F92" s="32"/>
      <c r="G92" s="32"/>
      <c r="H92" s="31"/>
      <c r="I92" s="6"/>
      <c r="J92" s="21"/>
      <c r="K92" s="59"/>
      <c r="L92" s="19"/>
      <c r="M92" s="22"/>
      <c r="N92" s="22"/>
    </row>
    <row r="93" spans="1:14" x14ac:dyDescent="0.2">
      <c r="A93" s="35"/>
      <c r="B93" s="6"/>
      <c r="C93" s="19"/>
      <c r="D93" s="14"/>
      <c r="E93" s="19"/>
      <c r="F93" s="32"/>
      <c r="G93" s="32"/>
      <c r="H93" s="31"/>
      <c r="I93" s="6"/>
      <c r="J93" s="21"/>
      <c r="K93" s="59"/>
      <c r="L93" s="19"/>
      <c r="M93" s="22"/>
      <c r="N93" s="22"/>
    </row>
    <row r="94" spans="1:14" x14ac:dyDescent="0.2">
      <c r="A94" s="35"/>
      <c r="B94" s="6"/>
      <c r="C94" s="19"/>
      <c r="D94" s="14"/>
      <c r="E94" s="19"/>
      <c r="F94" s="32"/>
      <c r="G94" s="32"/>
      <c r="H94" s="31"/>
      <c r="I94" s="6"/>
      <c r="J94" s="21"/>
      <c r="K94" s="59"/>
      <c r="L94" s="19"/>
      <c r="M94" s="22"/>
      <c r="N94" s="22"/>
    </row>
    <row r="95" spans="1:14" x14ac:dyDescent="0.2">
      <c r="A95" s="35"/>
      <c r="B95" s="6"/>
      <c r="C95" s="19"/>
      <c r="D95" s="14"/>
      <c r="E95" s="19"/>
      <c r="F95" s="32"/>
      <c r="G95" s="32"/>
      <c r="H95" s="31"/>
      <c r="I95" s="6"/>
      <c r="J95" s="21"/>
      <c r="K95" s="59"/>
      <c r="L95" s="19"/>
      <c r="M95" s="22"/>
      <c r="N95" s="22"/>
    </row>
    <row r="96" spans="1:14" x14ac:dyDescent="0.2">
      <c r="A96" s="35"/>
      <c r="B96" s="6"/>
      <c r="C96" s="19"/>
      <c r="D96" s="14"/>
      <c r="E96" s="19"/>
      <c r="F96" s="32"/>
      <c r="G96" s="32"/>
      <c r="H96" s="31"/>
      <c r="I96" s="6"/>
      <c r="J96" s="21"/>
      <c r="K96" s="59"/>
      <c r="L96" s="19"/>
      <c r="M96" s="22"/>
      <c r="N96" s="22"/>
    </row>
    <row r="97" spans="1:14" x14ac:dyDescent="0.2">
      <c r="A97" s="35"/>
      <c r="B97" s="6"/>
      <c r="C97" s="19"/>
      <c r="D97" s="14"/>
      <c r="E97" s="19"/>
      <c r="F97" s="32"/>
      <c r="G97" s="32"/>
      <c r="H97" s="31"/>
      <c r="I97" s="6"/>
      <c r="J97" s="21"/>
      <c r="K97" s="59"/>
      <c r="L97" s="19"/>
      <c r="M97" s="22"/>
      <c r="N97" s="22"/>
    </row>
    <row r="98" spans="1:14" x14ac:dyDescent="0.2">
      <c r="A98" s="35"/>
      <c r="B98" s="6"/>
      <c r="C98" s="19"/>
      <c r="D98" s="14"/>
      <c r="E98" s="19"/>
      <c r="F98" s="32"/>
      <c r="G98" s="32"/>
      <c r="H98" s="31"/>
      <c r="I98" s="6"/>
      <c r="J98" s="21"/>
      <c r="K98" s="59"/>
      <c r="L98" s="19"/>
      <c r="M98" s="22"/>
      <c r="N98" s="22"/>
    </row>
    <row r="99" spans="1:14" x14ac:dyDescent="0.2">
      <c r="A99" s="35"/>
      <c r="B99" s="6"/>
      <c r="C99" s="19"/>
      <c r="D99" s="14"/>
      <c r="E99" s="19"/>
      <c r="F99" s="32"/>
      <c r="G99" s="32"/>
      <c r="H99" s="31"/>
      <c r="I99" s="6"/>
      <c r="J99" s="21"/>
      <c r="K99" s="59"/>
      <c r="L99" s="19"/>
      <c r="M99" s="22"/>
      <c r="N99" s="22"/>
    </row>
    <row r="100" spans="1:14" x14ac:dyDescent="0.2">
      <c r="A100" s="35"/>
      <c r="B100" s="6"/>
      <c r="C100" s="19"/>
      <c r="D100" s="14"/>
      <c r="E100" s="19"/>
      <c r="F100" s="32"/>
      <c r="G100" s="32"/>
      <c r="H100" s="31"/>
      <c r="I100" s="6"/>
      <c r="J100" s="21"/>
      <c r="K100" s="59"/>
      <c r="L100" s="19"/>
      <c r="M100" s="22"/>
      <c r="N100" s="22"/>
    </row>
    <row r="101" spans="1:14" x14ac:dyDescent="0.2">
      <c r="A101" s="35"/>
      <c r="B101" s="6"/>
      <c r="C101" s="19"/>
      <c r="D101" s="14"/>
      <c r="E101" s="19"/>
      <c r="F101" s="32"/>
      <c r="G101" s="32"/>
      <c r="H101" s="31"/>
      <c r="I101" s="6"/>
      <c r="J101" s="21"/>
      <c r="K101" s="59"/>
      <c r="L101" s="19"/>
      <c r="M101" s="22"/>
      <c r="N101" s="22"/>
    </row>
    <row r="102" spans="1:14" x14ac:dyDescent="0.2">
      <c r="A102" s="35"/>
      <c r="B102" s="6"/>
      <c r="C102" s="19"/>
      <c r="D102" s="14"/>
      <c r="E102" s="19"/>
      <c r="F102" s="32"/>
      <c r="G102" s="32"/>
      <c r="H102" s="31"/>
      <c r="I102" s="6"/>
      <c r="J102" s="21"/>
      <c r="K102" s="59"/>
      <c r="L102" s="19"/>
      <c r="M102" s="22"/>
      <c r="N102" s="22"/>
    </row>
    <row r="103" spans="1:14" x14ac:dyDescent="0.2">
      <c r="A103" s="35"/>
      <c r="B103" s="6"/>
      <c r="C103" s="19"/>
      <c r="D103" s="14"/>
      <c r="E103" s="19"/>
      <c r="F103" s="32"/>
      <c r="G103" s="32"/>
      <c r="H103" s="31"/>
      <c r="I103" s="6"/>
      <c r="J103" s="21"/>
      <c r="K103" s="59"/>
      <c r="L103" s="19"/>
      <c r="M103" s="22"/>
      <c r="N103" s="22"/>
    </row>
    <row r="104" spans="1:14" x14ac:dyDescent="0.2">
      <c r="A104" s="35"/>
      <c r="B104" s="6"/>
      <c r="C104" s="19"/>
      <c r="D104" s="14"/>
      <c r="E104" s="19"/>
      <c r="F104" s="32"/>
      <c r="G104" s="32"/>
      <c r="H104" s="31"/>
      <c r="I104" s="6"/>
      <c r="J104" s="21"/>
      <c r="K104" s="59"/>
      <c r="L104" s="19"/>
      <c r="M104" s="22"/>
      <c r="N104" s="22"/>
    </row>
    <row r="105" spans="1:14" x14ac:dyDescent="0.2">
      <c r="A105" s="35"/>
      <c r="B105" s="6"/>
      <c r="C105" s="19"/>
      <c r="D105" s="14"/>
      <c r="E105" s="19"/>
      <c r="F105" s="32"/>
      <c r="G105" s="32"/>
      <c r="H105" s="31"/>
      <c r="I105" s="6"/>
      <c r="J105" s="21"/>
      <c r="K105" s="59"/>
      <c r="L105" s="19"/>
      <c r="M105" s="22"/>
      <c r="N105" s="22"/>
    </row>
    <row r="106" spans="1:14" x14ac:dyDescent="0.2">
      <c r="A106" s="35"/>
      <c r="B106" s="6"/>
      <c r="C106" s="19"/>
      <c r="D106" s="14"/>
      <c r="E106" s="19"/>
      <c r="F106" s="32"/>
      <c r="G106" s="32"/>
      <c r="H106" s="31"/>
      <c r="I106" s="6"/>
      <c r="J106" s="21"/>
      <c r="K106" s="59"/>
      <c r="L106" s="19"/>
      <c r="M106" s="22"/>
      <c r="N106" s="22"/>
    </row>
    <row r="107" spans="1:14" x14ac:dyDescent="0.2">
      <c r="A107" s="35"/>
      <c r="B107" s="6"/>
      <c r="C107" s="19"/>
      <c r="D107" s="14"/>
      <c r="E107" s="19"/>
      <c r="F107" s="32"/>
      <c r="G107" s="32"/>
      <c r="H107" s="31"/>
      <c r="I107" s="6"/>
      <c r="J107" s="21"/>
      <c r="K107" s="59"/>
      <c r="L107" s="19"/>
      <c r="M107" s="22"/>
      <c r="N107" s="22"/>
    </row>
    <row r="108" spans="1:14" x14ac:dyDescent="0.2">
      <c r="A108" s="35"/>
      <c r="B108" s="6"/>
      <c r="C108" s="19"/>
      <c r="D108" s="14"/>
      <c r="E108" s="19"/>
      <c r="F108" s="32"/>
      <c r="G108" s="32"/>
      <c r="H108" s="31"/>
      <c r="I108" s="6"/>
      <c r="J108" s="21"/>
      <c r="K108" s="59"/>
      <c r="L108" s="19"/>
      <c r="M108" s="22"/>
      <c r="N108" s="22"/>
    </row>
    <row r="109" spans="1:14" x14ac:dyDescent="0.2">
      <c r="A109" s="35"/>
      <c r="B109" s="6"/>
      <c r="C109" s="19"/>
      <c r="D109" s="14"/>
      <c r="E109" s="19"/>
      <c r="F109" s="32"/>
      <c r="G109" s="32"/>
      <c r="H109" s="31"/>
      <c r="I109" s="6"/>
      <c r="J109" s="21"/>
      <c r="K109" s="59"/>
      <c r="L109" s="19"/>
      <c r="M109" s="22"/>
      <c r="N109" s="22"/>
    </row>
    <row r="110" spans="1:14" x14ac:dyDescent="0.2">
      <c r="A110" s="35"/>
      <c r="B110" s="6"/>
      <c r="C110" s="19"/>
      <c r="D110" s="14"/>
      <c r="E110" s="19"/>
      <c r="F110" s="32"/>
      <c r="G110" s="32"/>
      <c r="H110" s="31"/>
      <c r="I110" s="6"/>
      <c r="J110" s="21"/>
      <c r="K110" s="59"/>
      <c r="L110" s="19"/>
      <c r="M110" s="22"/>
      <c r="N110" s="22"/>
    </row>
    <row r="111" spans="1:14" x14ac:dyDescent="0.2">
      <c r="A111" s="35"/>
      <c r="B111" s="6"/>
      <c r="C111" s="19"/>
      <c r="D111" s="14"/>
      <c r="E111" s="19"/>
      <c r="F111" s="32"/>
      <c r="G111" s="32"/>
      <c r="H111" s="31"/>
      <c r="I111" s="6"/>
      <c r="J111" s="21"/>
      <c r="K111" s="59"/>
      <c r="L111" s="19"/>
      <c r="M111" s="22"/>
      <c r="N111" s="22"/>
    </row>
    <row r="112" spans="1:14" x14ac:dyDescent="0.2">
      <c r="A112" s="35"/>
      <c r="B112" s="6"/>
      <c r="C112" s="19"/>
      <c r="D112" s="14"/>
      <c r="E112" s="19"/>
      <c r="F112" s="32"/>
      <c r="G112" s="32"/>
      <c r="H112" s="31"/>
      <c r="I112" s="6"/>
      <c r="J112" s="21"/>
      <c r="K112" s="59"/>
      <c r="L112" s="19"/>
      <c r="M112" s="22"/>
      <c r="N112" s="22"/>
    </row>
    <row r="113" spans="1:14" x14ac:dyDescent="0.2">
      <c r="A113" s="35"/>
      <c r="B113" s="6"/>
      <c r="C113" s="19"/>
      <c r="D113" s="14"/>
      <c r="E113" s="19"/>
      <c r="F113" s="32"/>
      <c r="G113" s="32"/>
      <c r="H113" s="31"/>
      <c r="I113" s="6"/>
      <c r="J113" s="21"/>
      <c r="K113" s="59"/>
      <c r="L113" s="19"/>
      <c r="M113" s="22"/>
      <c r="N113" s="22"/>
    </row>
    <row r="114" spans="1:14" x14ac:dyDescent="0.2">
      <c r="A114" s="35"/>
      <c r="B114" s="6"/>
      <c r="C114" s="19"/>
      <c r="D114" s="14"/>
      <c r="E114" s="19"/>
      <c r="F114" s="32"/>
      <c r="G114" s="32"/>
      <c r="H114" s="31"/>
      <c r="I114" s="6"/>
      <c r="J114" s="21"/>
      <c r="K114" s="59"/>
      <c r="L114" s="19"/>
      <c r="M114" s="22"/>
      <c r="N114" s="22"/>
    </row>
    <row r="115" spans="1:14" x14ac:dyDescent="0.2">
      <c r="A115" s="35"/>
      <c r="B115" s="6"/>
      <c r="C115" s="19"/>
      <c r="D115" s="14"/>
      <c r="E115" s="19"/>
      <c r="F115" s="32"/>
      <c r="G115" s="32"/>
      <c r="H115" s="31"/>
      <c r="I115" s="6"/>
      <c r="J115" s="21"/>
      <c r="K115" s="59"/>
      <c r="L115" s="19"/>
      <c r="M115" s="22"/>
      <c r="N115" s="22"/>
    </row>
    <row r="116" spans="1:14" x14ac:dyDescent="0.2">
      <c r="A116" s="35"/>
      <c r="B116" s="6"/>
      <c r="C116" s="19"/>
      <c r="D116" s="14"/>
      <c r="E116" s="19"/>
      <c r="F116" s="32"/>
      <c r="G116" s="32"/>
      <c r="H116" s="31"/>
      <c r="I116" s="6"/>
      <c r="J116" s="21"/>
      <c r="K116" s="59"/>
      <c r="L116" s="19"/>
      <c r="M116" s="22"/>
      <c r="N116" s="22"/>
    </row>
    <row r="117" spans="1:14" x14ac:dyDescent="0.2">
      <c r="A117" s="35"/>
      <c r="B117" s="6"/>
      <c r="C117" s="19"/>
      <c r="D117" s="14"/>
      <c r="E117" s="19"/>
      <c r="F117" s="32"/>
      <c r="G117" s="32"/>
      <c r="H117" s="31"/>
      <c r="I117" s="6"/>
      <c r="J117" s="21"/>
      <c r="K117" s="59"/>
      <c r="L117" s="19"/>
      <c r="M117" s="22"/>
      <c r="N117" s="22"/>
    </row>
    <row r="118" spans="1:14" x14ac:dyDescent="0.2">
      <c r="A118" s="35"/>
      <c r="B118" s="6"/>
      <c r="C118" s="19"/>
      <c r="D118" s="14"/>
      <c r="E118" s="19"/>
      <c r="F118" s="32"/>
      <c r="G118" s="32"/>
      <c r="H118" s="31"/>
      <c r="I118" s="6"/>
      <c r="J118" s="21"/>
      <c r="K118" s="59"/>
      <c r="L118" s="19"/>
      <c r="M118" s="22"/>
      <c r="N118" s="22"/>
    </row>
    <row r="119" spans="1:14" x14ac:dyDescent="0.2">
      <c r="A119" s="35"/>
      <c r="B119" s="6"/>
      <c r="C119" s="19"/>
      <c r="D119" s="14"/>
      <c r="E119" s="19"/>
      <c r="F119" s="32"/>
      <c r="G119" s="32"/>
      <c r="H119" s="31"/>
      <c r="I119" s="6"/>
      <c r="J119" s="21"/>
      <c r="K119" s="59"/>
      <c r="L119" s="19"/>
      <c r="M119" s="22"/>
      <c r="N119" s="22"/>
    </row>
    <row r="120" spans="1:14" x14ac:dyDescent="0.2">
      <c r="A120" s="35"/>
      <c r="B120" s="6"/>
      <c r="C120" s="19"/>
      <c r="D120" s="14"/>
      <c r="E120" s="19"/>
      <c r="F120" s="32"/>
      <c r="G120" s="32"/>
      <c r="H120" s="31"/>
      <c r="I120" s="6"/>
      <c r="J120" s="21"/>
      <c r="K120" s="59"/>
      <c r="L120" s="19"/>
      <c r="M120" s="22"/>
      <c r="N120" s="22"/>
    </row>
    <row r="121" spans="1:14" x14ac:dyDescent="0.2">
      <c r="A121" s="35"/>
      <c r="B121" s="6"/>
      <c r="C121" s="19"/>
      <c r="D121" s="14"/>
      <c r="E121" s="19"/>
      <c r="F121" s="32"/>
      <c r="G121" s="32"/>
      <c r="H121" s="31"/>
      <c r="I121" s="6"/>
      <c r="J121" s="21"/>
      <c r="K121" s="59"/>
      <c r="L121" s="19"/>
      <c r="M121" s="22"/>
      <c r="N121" s="22"/>
    </row>
    <row r="122" spans="1:14" x14ac:dyDescent="0.2">
      <c r="A122" s="35"/>
      <c r="B122" s="6"/>
      <c r="C122" s="19"/>
      <c r="D122" s="14"/>
      <c r="E122" s="19"/>
      <c r="F122" s="32"/>
      <c r="G122" s="32"/>
      <c r="H122" s="31"/>
      <c r="I122" s="6"/>
      <c r="J122" s="21"/>
      <c r="K122" s="59"/>
      <c r="L122" s="19"/>
      <c r="M122" s="22"/>
      <c r="N122" s="22"/>
    </row>
    <row r="123" spans="1:14" x14ac:dyDescent="0.2">
      <c r="A123" s="35"/>
      <c r="B123" s="6"/>
      <c r="C123" s="19"/>
      <c r="D123" s="14"/>
      <c r="E123" s="19"/>
      <c r="F123" s="32"/>
      <c r="G123" s="32"/>
      <c r="H123" s="31"/>
      <c r="I123" s="6"/>
      <c r="J123" s="21"/>
      <c r="K123" s="59"/>
      <c r="L123" s="19"/>
      <c r="M123" s="22"/>
      <c r="N123" s="22"/>
    </row>
    <row r="124" spans="1:14" x14ac:dyDescent="0.2">
      <c r="A124" s="35"/>
      <c r="B124" s="6"/>
      <c r="C124" s="19"/>
      <c r="D124" s="14"/>
      <c r="E124" s="19"/>
      <c r="F124" s="32"/>
      <c r="G124" s="32"/>
      <c r="H124" s="31"/>
      <c r="I124" s="6"/>
      <c r="J124" s="21"/>
      <c r="K124" s="59"/>
      <c r="L124" s="19"/>
      <c r="M124" s="22"/>
      <c r="N124" s="22"/>
    </row>
    <row r="125" spans="1:14" x14ac:dyDescent="0.2">
      <c r="A125" s="35"/>
      <c r="B125" s="6"/>
      <c r="C125" s="19"/>
      <c r="D125" s="14"/>
      <c r="E125" s="19"/>
      <c r="F125" s="32"/>
      <c r="G125" s="32"/>
      <c r="H125" s="31"/>
      <c r="I125" s="6"/>
      <c r="J125" s="21"/>
      <c r="K125" s="59"/>
      <c r="L125" s="19"/>
      <c r="M125" s="22"/>
      <c r="N125" s="22"/>
    </row>
    <row r="126" spans="1:14" x14ac:dyDescent="0.2">
      <c r="A126" s="35"/>
      <c r="B126" s="6"/>
      <c r="C126" s="19"/>
      <c r="D126" s="14"/>
      <c r="E126" s="19"/>
      <c r="F126" s="32"/>
      <c r="G126" s="32"/>
      <c r="H126" s="31"/>
      <c r="I126" s="6"/>
      <c r="J126" s="21"/>
      <c r="K126" s="59"/>
      <c r="L126" s="19"/>
      <c r="M126" s="22"/>
      <c r="N126" s="22"/>
    </row>
    <row r="127" spans="1:14" x14ac:dyDescent="0.2">
      <c r="A127" s="35"/>
      <c r="B127" s="6"/>
      <c r="C127" s="19"/>
      <c r="D127" s="14"/>
      <c r="E127" s="19"/>
      <c r="F127" s="32"/>
      <c r="G127" s="32"/>
      <c r="H127" s="31"/>
      <c r="I127" s="6"/>
      <c r="J127" s="21"/>
      <c r="K127" s="59"/>
      <c r="L127" s="19"/>
      <c r="M127" s="22"/>
      <c r="N127" s="22"/>
    </row>
    <row r="128" spans="1:14" x14ac:dyDescent="0.2">
      <c r="A128" s="35"/>
      <c r="B128" s="6"/>
      <c r="C128" s="19"/>
      <c r="D128" s="14"/>
      <c r="E128" s="19"/>
      <c r="F128" s="32"/>
      <c r="G128" s="32"/>
      <c r="H128" s="31"/>
      <c r="I128" s="6"/>
      <c r="J128" s="21"/>
      <c r="K128" s="59"/>
      <c r="L128" s="19"/>
      <c r="M128" s="22"/>
      <c r="N128" s="22"/>
    </row>
    <row r="129" spans="1:14" x14ac:dyDescent="0.2">
      <c r="A129" s="35"/>
      <c r="B129" s="6"/>
      <c r="C129" s="19"/>
      <c r="D129" s="14"/>
      <c r="E129" s="19"/>
      <c r="F129" s="32"/>
      <c r="G129" s="32"/>
      <c r="H129" s="31"/>
      <c r="I129" s="6"/>
      <c r="J129" s="21"/>
      <c r="K129" s="59"/>
      <c r="L129" s="19"/>
      <c r="M129" s="22"/>
      <c r="N129" s="22"/>
    </row>
    <row r="130" spans="1:14" x14ac:dyDescent="0.2">
      <c r="A130" s="35"/>
      <c r="B130" s="6"/>
      <c r="C130" s="19"/>
      <c r="D130" s="14"/>
      <c r="E130" s="19"/>
      <c r="F130" s="32"/>
      <c r="G130" s="32"/>
      <c r="H130" s="31"/>
      <c r="I130" s="6"/>
      <c r="J130" s="21"/>
      <c r="K130" s="59"/>
      <c r="L130" s="19"/>
      <c r="M130" s="22"/>
      <c r="N130" s="22"/>
    </row>
    <row r="131" spans="1:14" x14ac:dyDescent="0.2">
      <c r="A131" s="35"/>
      <c r="B131" s="6"/>
      <c r="C131" s="19"/>
      <c r="D131" s="14"/>
      <c r="E131" s="19"/>
      <c r="F131" s="32"/>
      <c r="G131" s="32"/>
      <c r="H131" s="31"/>
      <c r="I131" s="6"/>
      <c r="J131" s="21"/>
      <c r="K131" s="59"/>
      <c r="L131" s="19"/>
      <c r="M131" s="22"/>
      <c r="N131" s="22"/>
    </row>
    <row r="132" spans="1:14" x14ac:dyDescent="0.2">
      <c r="A132" s="35"/>
      <c r="B132" s="6"/>
      <c r="C132" s="19"/>
      <c r="D132" s="14"/>
      <c r="E132" s="19"/>
      <c r="F132" s="32"/>
      <c r="G132" s="32"/>
      <c r="H132" s="31"/>
      <c r="I132" s="6"/>
      <c r="J132" s="21"/>
      <c r="K132" s="59"/>
      <c r="L132" s="19"/>
      <c r="M132" s="22"/>
      <c r="N132" s="22"/>
    </row>
    <row r="133" spans="1:14" x14ac:dyDescent="0.2">
      <c r="A133" s="35"/>
      <c r="B133" s="6"/>
      <c r="C133" s="19"/>
      <c r="D133" s="14"/>
      <c r="E133" s="19"/>
      <c r="F133" s="32"/>
      <c r="G133" s="32"/>
      <c r="H133" s="31"/>
      <c r="I133" s="6"/>
      <c r="J133" s="21"/>
      <c r="K133" s="59"/>
      <c r="L133" s="19"/>
      <c r="M133" s="22"/>
      <c r="N133" s="22"/>
    </row>
  </sheetData>
  <mergeCells count="3">
    <mergeCell ref="H1:H2"/>
    <mergeCell ref="A46:K46"/>
    <mergeCell ref="A44:N44"/>
  </mergeCells>
  <phoneticPr fontId="1" type="noConversion"/>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D616FBA0-F2A2-C74D-B9E8-7D2041B6DF5E}">
          <x14:formula1>
            <xm:f>Dropdowns!$K$2:$K$6</xm:f>
          </x14:formula1>
          <xm:sqref>K4:K41 K43 K47:K133</xm:sqref>
        </x14:dataValidation>
        <x14:dataValidation type="list" allowBlank="1" showInputMessage="1" showErrorMessage="1" xr:uid="{201FF332-CC36-824B-AFB1-EDB50EE67AA3}">
          <x14:formula1>
            <xm:f>Dropdowns!$C$2:$C$8</xm:f>
          </x14:formula1>
          <xm:sqref>B4:B41 B43 B47:B133</xm:sqref>
        </x14:dataValidation>
        <x14:dataValidation type="list" allowBlank="1" showInputMessage="1" showErrorMessage="1" xr:uid="{C7506F83-835F-D64E-BEE7-F70C08FBD2EF}">
          <x14:formula1>
            <xm:f>Dropdowns!$I$2:$I$15</xm:f>
          </x14:formula1>
          <xm:sqref>I47:I133 I43 I4:I41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9AB4-7C6E-7B4E-B7C6-D15D0139B248}">
  <dimension ref="A1:N150"/>
  <sheetViews>
    <sheetView showGridLines="0" zoomScale="120" zoomScaleNormal="120" workbookViewId="0">
      <selection activeCell="F25" sqref="F25"/>
    </sheetView>
  </sheetViews>
  <sheetFormatPr baseColWidth="10" defaultRowHeight="15" x14ac:dyDescent="0.2"/>
  <cols>
    <col min="1" max="1" width="11.1640625" customWidth="1"/>
    <col min="2" max="2" width="20.1640625" bestFit="1" customWidth="1"/>
    <col min="3" max="3" width="24.33203125" customWidth="1"/>
    <col min="4" max="5" width="24" customWidth="1"/>
    <col min="6" max="6" width="12.83203125" bestFit="1" customWidth="1"/>
    <col min="7" max="7" width="15.33203125" bestFit="1" customWidth="1"/>
    <col min="8" max="8" width="14.33203125" bestFit="1" customWidth="1"/>
    <col min="10" max="10" width="30.6640625" customWidth="1"/>
    <col min="11" max="11" width="16" customWidth="1"/>
    <col min="12" max="12" width="51.83203125" customWidth="1"/>
    <col min="13" max="13" width="24" bestFit="1" customWidth="1"/>
    <col min="14" max="14" width="26.33203125" bestFit="1" customWidth="1"/>
  </cols>
  <sheetData>
    <row r="1" spans="1:14" x14ac:dyDescent="0.2">
      <c r="F1" s="68" t="s">
        <v>115</v>
      </c>
      <c r="H1" s="126">
        <v>17.05</v>
      </c>
    </row>
    <row r="2" spans="1:14" ht="16" thickBot="1" x14ac:dyDescent="0.25">
      <c r="F2" s="67">
        <v>1.08</v>
      </c>
      <c r="H2" s="127"/>
    </row>
    <row r="3" spans="1:14" ht="16" x14ac:dyDescent="0.2">
      <c r="A3" t="s">
        <v>183</v>
      </c>
      <c r="B3" s="51" t="s">
        <v>152</v>
      </c>
      <c r="C3" s="53" t="s">
        <v>117</v>
      </c>
      <c r="D3" t="s">
        <v>526</v>
      </c>
      <c r="E3" s="52" t="s">
        <v>319</v>
      </c>
      <c r="F3" s="52" t="s">
        <v>256</v>
      </c>
      <c r="G3" s="52" t="s">
        <v>317</v>
      </c>
      <c r="H3" s="52" t="s">
        <v>70</v>
      </c>
      <c r="I3" s="52" t="s">
        <v>154</v>
      </c>
      <c r="J3" t="s">
        <v>527</v>
      </c>
      <c r="K3" s="54" t="s">
        <v>116</v>
      </c>
      <c r="L3" s="1" t="s">
        <v>428</v>
      </c>
      <c r="M3" s="55" t="s">
        <v>113</v>
      </c>
      <c r="N3" s="55" t="s">
        <v>112</v>
      </c>
    </row>
    <row r="4" spans="1:14" s="39" customFormat="1" ht="48" x14ac:dyDescent="0.2">
      <c r="A4" s="85" t="s">
        <v>617</v>
      </c>
      <c r="B4" s="85" t="s">
        <v>125</v>
      </c>
      <c r="C4" s="81" t="s">
        <v>0</v>
      </c>
      <c r="D4" s="82" t="s">
        <v>344</v>
      </c>
      <c r="E4" s="85" t="s">
        <v>5</v>
      </c>
      <c r="F4" s="123">
        <f>Table81012[[#This Row],[Euro - Amounts]]*$F$2</f>
        <v>7560000.0000000009</v>
      </c>
      <c r="G4" s="100">
        <v>7000000</v>
      </c>
      <c r="H4" s="99">
        <f>Table81012[[#This Row],[Total US$ ]]*$H$1</f>
        <v>128898000.00000001</v>
      </c>
      <c r="I4" s="85" t="s">
        <v>141</v>
      </c>
      <c r="J4" s="83" t="s">
        <v>618</v>
      </c>
      <c r="K4" s="109" t="s">
        <v>338</v>
      </c>
      <c r="L4" s="117" t="s">
        <v>632</v>
      </c>
      <c r="M4" s="111">
        <v>45838</v>
      </c>
      <c r="N4" s="111">
        <v>46022</v>
      </c>
    </row>
    <row r="5" spans="1:14" s="35" customFormat="1" ht="48" x14ac:dyDescent="0.2">
      <c r="A5" s="85" t="s">
        <v>230</v>
      </c>
      <c r="B5" s="85" t="s">
        <v>125</v>
      </c>
      <c r="C5" s="81" t="s">
        <v>343</v>
      </c>
      <c r="D5" s="82" t="s">
        <v>6</v>
      </c>
      <c r="E5" s="83" t="s">
        <v>345</v>
      </c>
      <c r="F5" s="88">
        <f>Table81012[[#This Row],[Euro - Amounts]]*$F$2</f>
        <v>10260000</v>
      </c>
      <c r="G5" s="100">
        <v>9500000</v>
      </c>
      <c r="H5" s="99">
        <f>Table81012[[#This Row],[Total US$ ]]*$H$1</f>
        <v>174933000</v>
      </c>
      <c r="I5" s="85" t="s">
        <v>141</v>
      </c>
      <c r="J5" s="83" t="s">
        <v>88</v>
      </c>
      <c r="K5" s="109" t="s">
        <v>329</v>
      </c>
      <c r="L5" s="82" t="s">
        <v>445</v>
      </c>
      <c r="M5" s="112">
        <v>44501</v>
      </c>
      <c r="N5" s="112">
        <v>45291</v>
      </c>
    </row>
    <row r="6" spans="1:14" s="35" customFormat="1" ht="64" x14ac:dyDescent="0.2">
      <c r="A6" s="85" t="s">
        <v>231</v>
      </c>
      <c r="B6" s="85" t="s">
        <v>125</v>
      </c>
      <c r="C6" s="81" t="s">
        <v>343</v>
      </c>
      <c r="D6" s="82" t="s">
        <v>6</v>
      </c>
      <c r="E6" s="81" t="s">
        <v>346</v>
      </c>
      <c r="F6" s="88">
        <f>Table81012[[#This Row],[Euro - Amounts]]*$F$2</f>
        <v>16740000.000000002</v>
      </c>
      <c r="G6" s="100">
        <v>15500000</v>
      </c>
      <c r="H6" s="99">
        <f>Table81012[[#This Row],[Total US$ ]]*$H$1</f>
        <v>285417000.00000006</v>
      </c>
      <c r="I6" s="85" t="s">
        <v>141</v>
      </c>
      <c r="J6" s="83" t="s">
        <v>88</v>
      </c>
      <c r="K6" s="109" t="s">
        <v>329</v>
      </c>
      <c r="L6" s="82" t="s">
        <v>446</v>
      </c>
      <c r="M6" s="112">
        <v>44562</v>
      </c>
      <c r="N6" s="111">
        <v>45930</v>
      </c>
    </row>
    <row r="7" spans="1:14" s="35" customFormat="1" ht="48" x14ac:dyDescent="0.2">
      <c r="A7" s="85" t="s">
        <v>232</v>
      </c>
      <c r="B7" s="85" t="s">
        <v>126</v>
      </c>
      <c r="C7" s="81" t="s">
        <v>343</v>
      </c>
      <c r="D7" s="82" t="s">
        <v>6</v>
      </c>
      <c r="E7" s="83" t="s">
        <v>347</v>
      </c>
      <c r="F7" s="88">
        <f>Table81012[[#This Row],[Euro - Amounts]]*$F$2</f>
        <v>3240000</v>
      </c>
      <c r="G7" s="98">
        <v>3000000</v>
      </c>
      <c r="H7" s="99">
        <f>Table81012[[#This Row],[Total US$ ]]*$H$1</f>
        <v>55242000</v>
      </c>
      <c r="I7" s="85" t="s">
        <v>141</v>
      </c>
      <c r="J7" s="83" t="s">
        <v>89</v>
      </c>
      <c r="K7" s="109" t="s">
        <v>329</v>
      </c>
      <c r="L7" s="82" t="s">
        <v>447</v>
      </c>
      <c r="M7" s="112">
        <v>44501</v>
      </c>
      <c r="N7" s="112">
        <v>45838</v>
      </c>
    </row>
    <row r="8" spans="1:14" s="35" customFormat="1" ht="32" x14ac:dyDescent="0.2">
      <c r="A8" s="85" t="s">
        <v>233</v>
      </c>
      <c r="B8" s="85" t="s">
        <v>125</v>
      </c>
      <c r="C8" s="81" t="s">
        <v>343</v>
      </c>
      <c r="D8" s="82"/>
      <c r="E8" s="81" t="s">
        <v>88</v>
      </c>
      <c r="F8" s="88">
        <f>Table81012[[#This Row],[Euro - Amounts]]*$F$2</f>
        <v>2376000</v>
      </c>
      <c r="G8" s="100">
        <v>2200000</v>
      </c>
      <c r="H8" s="99">
        <f>Table81012[[#This Row],[Total US$ ]]*$H$1</f>
        <v>40510800</v>
      </c>
      <c r="I8" s="85" t="s">
        <v>141</v>
      </c>
      <c r="J8" s="83" t="s">
        <v>548</v>
      </c>
      <c r="K8" s="109" t="s">
        <v>329</v>
      </c>
      <c r="L8" s="82" t="s">
        <v>448</v>
      </c>
      <c r="M8" s="112">
        <v>44501</v>
      </c>
      <c r="N8" s="112">
        <v>45291</v>
      </c>
    </row>
    <row r="9" spans="1:14" s="39" customFormat="1" ht="32" x14ac:dyDescent="0.2">
      <c r="A9" s="85" t="s">
        <v>619</v>
      </c>
      <c r="B9" s="85" t="s">
        <v>125</v>
      </c>
      <c r="C9" s="81" t="s">
        <v>343</v>
      </c>
      <c r="D9" s="82" t="s">
        <v>6</v>
      </c>
      <c r="E9" s="81" t="s">
        <v>620</v>
      </c>
      <c r="F9" s="123">
        <f>Table81012[[#This Row],[Euro - Amounts]]*$F$2</f>
        <v>4860000</v>
      </c>
      <c r="G9" s="100">
        <v>4500000</v>
      </c>
      <c r="H9" s="99">
        <f>Table81012[[#This Row],[Total US$ ]]*$H$1</f>
        <v>82863000</v>
      </c>
      <c r="I9" s="85" t="s">
        <v>141</v>
      </c>
      <c r="J9" s="83" t="s">
        <v>88</v>
      </c>
      <c r="K9" s="109" t="s">
        <v>338</v>
      </c>
      <c r="L9" s="81" t="s">
        <v>633</v>
      </c>
      <c r="M9" s="112">
        <v>45292</v>
      </c>
      <c r="N9" s="112">
        <v>46387</v>
      </c>
    </row>
    <row r="10" spans="1:14" s="35" customFormat="1" ht="351" customHeight="1" x14ac:dyDescent="0.2">
      <c r="A10" s="85" t="s">
        <v>234</v>
      </c>
      <c r="B10" s="85" t="s">
        <v>129</v>
      </c>
      <c r="C10" s="81" t="s">
        <v>17</v>
      </c>
      <c r="D10" s="82" t="s">
        <v>6</v>
      </c>
      <c r="E10" s="81" t="s">
        <v>348</v>
      </c>
      <c r="F10" s="88">
        <f>Table81012[[#This Row],[Euro - Amounts]]*$F$2</f>
        <v>16200000.000000002</v>
      </c>
      <c r="G10" s="100">
        <v>15000000</v>
      </c>
      <c r="H10" s="99">
        <f>Table81012[[#This Row],[Total US$ ]]*$H$1</f>
        <v>276210000.00000006</v>
      </c>
      <c r="I10" s="85" t="s">
        <v>141</v>
      </c>
      <c r="J10" s="83" t="s">
        <v>94</v>
      </c>
      <c r="K10" s="109" t="s">
        <v>329</v>
      </c>
      <c r="L10" s="82" t="s">
        <v>449</v>
      </c>
      <c r="M10" s="112">
        <v>44713</v>
      </c>
      <c r="N10" s="112">
        <v>46630</v>
      </c>
    </row>
    <row r="11" spans="1:14" s="35" customFormat="1" ht="48" x14ac:dyDescent="0.2">
      <c r="A11" s="85" t="s">
        <v>235</v>
      </c>
      <c r="B11" s="85" t="s">
        <v>156</v>
      </c>
      <c r="C11" s="81" t="s">
        <v>26</v>
      </c>
      <c r="D11" s="82" t="s">
        <v>344</v>
      </c>
      <c r="E11" s="81" t="s">
        <v>29</v>
      </c>
      <c r="F11" s="88">
        <f>Table81012[[#This Row],[Euro - Amounts]]*$F$2</f>
        <v>21600000</v>
      </c>
      <c r="G11" s="98">
        <v>20000000</v>
      </c>
      <c r="H11" s="99">
        <f>Table81012[[#This Row],[Total US$ ]]*$H$1</f>
        <v>368280000</v>
      </c>
      <c r="I11" s="85" t="s">
        <v>141</v>
      </c>
      <c r="J11" s="83" t="s">
        <v>546</v>
      </c>
      <c r="K11" s="109" t="s">
        <v>329</v>
      </c>
      <c r="L11" s="82" t="s">
        <v>450</v>
      </c>
      <c r="M11" s="112">
        <v>44562</v>
      </c>
      <c r="N11" s="112">
        <v>47118</v>
      </c>
    </row>
    <row r="12" spans="1:14" s="39" customFormat="1" ht="32" x14ac:dyDescent="0.2">
      <c r="A12" s="85" t="s">
        <v>621</v>
      </c>
      <c r="B12" s="85" t="s">
        <v>156</v>
      </c>
      <c r="C12" s="81" t="s">
        <v>26</v>
      </c>
      <c r="D12" s="82" t="s">
        <v>344</v>
      </c>
      <c r="E12" s="81" t="s">
        <v>29</v>
      </c>
      <c r="F12" s="123">
        <f>Table81012[[#This Row],[Euro - Amounts]]*$F$2</f>
        <v>21600000</v>
      </c>
      <c r="G12" s="98">
        <v>20000000</v>
      </c>
      <c r="H12" s="99">
        <f>Table81012[[#This Row],[Total US$ ]]*$H$1</f>
        <v>368280000</v>
      </c>
      <c r="I12" s="85" t="s">
        <v>141</v>
      </c>
      <c r="J12" s="83" t="s">
        <v>622</v>
      </c>
      <c r="K12" s="109" t="s">
        <v>338</v>
      </c>
      <c r="L12" s="81" t="s">
        <v>634</v>
      </c>
      <c r="M12" s="112">
        <v>45292</v>
      </c>
      <c r="N12" s="112">
        <v>47848</v>
      </c>
    </row>
    <row r="13" spans="1:14" s="35" customFormat="1" ht="64" x14ac:dyDescent="0.2">
      <c r="A13" s="85" t="s">
        <v>236</v>
      </c>
      <c r="B13" s="85" t="s">
        <v>96</v>
      </c>
      <c r="C13" s="81" t="s">
        <v>39</v>
      </c>
      <c r="D13" s="82" t="s">
        <v>344</v>
      </c>
      <c r="E13" s="81" t="s">
        <v>349</v>
      </c>
      <c r="F13" s="88">
        <f>Table81012[[#This Row],[Euro - Amounts]]*$F$2</f>
        <v>20520000</v>
      </c>
      <c r="G13" s="100">
        <v>19000000</v>
      </c>
      <c r="H13" s="99">
        <f>Table81012[[#This Row],[Total US$ ]]*$H$1</f>
        <v>349866000</v>
      </c>
      <c r="I13" s="85" t="s">
        <v>141</v>
      </c>
      <c r="J13" s="83" t="s">
        <v>547</v>
      </c>
      <c r="K13" s="109" t="s">
        <v>329</v>
      </c>
      <c r="L13" s="82" t="s">
        <v>451</v>
      </c>
      <c r="M13" s="112">
        <v>44501</v>
      </c>
      <c r="N13" s="112">
        <v>46387</v>
      </c>
    </row>
    <row r="14" spans="1:14" s="35" customFormat="1" ht="32" x14ac:dyDescent="0.2">
      <c r="A14" s="85" t="s">
        <v>237</v>
      </c>
      <c r="B14" s="85" t="s">
        <v>126</v>
      </c>
      <c r="C14" s="81" t="s">
        <v>45</v>
      </c>
      <c r="D14" s="82" t="s">
        <v>344</v>
      </c>
      <c r="E14" s="81" t="s">
        <v>48</v>
      </c>
      <c r="F14" s="88">
        <f>Table81012[[#This Row],[Euro - Amounts]]*$F$2</f>
        <v>24840000</v>
      </c>
      <c r="G14" s="98">
        <v>23000000</v>
      </c>
      <c r="H14" s="99">
        <f>Table81012[[#This Row],[Total US$ ]]*$H$1</f>
        <v>423522000</v>
      </c>
      <c r="I14" s="85" t="s">
        <v>141</v>
      </c>
      <c r="J14" s="96" t="s">
        <v>549</v>
      </c>
      <c r="K14" s="109" t="s">
        <v>338</v>
      </c>
      <c r="L14" s="117" t="s">
        <v>47</v>
      </c>
      <c r="M14" s="112">
        <v>44927</v>
      </c>
      <c r="N14" s="112">
        <v>47483</v>
      </c>
    </row>
    <row r="15" spans="1:14" s="35" customFormat="1" ht="48" x14ac:dyDescent="0.2">
      <c r="A15" s="85" t="s">
        <v>238</v>
      </c>
      <c r="B15" s="85" t="s">
        <v>126</v>
      </c>
      <c r="C15" s="81" t="s">
        <v>45</v>
      </c>
      <c r="D15" s="82" t="s">
        <v>6</v>
      </c>
      <c r="E15" s="81" t="s">
        <v>350</v>
      </c>
      <c r="F15" s="88">
        <f>Table81012[[#This Row],[Euro - Amounts]]*$F$2</f>
        <v>16740000.000000002</v>
      </c>
      <c r="G15" s="100">
        <v>15500000</v>
      </c>
      <c r="H15" s="99">
        <f>Table81012[[#This Row],[Total US$ ]]*$H$1</f>
        <v>285417000.00000006</v>
      </c>
      <c r="I15" s="85" t="s">
        <v>141</v>
      </c>
      <c r="J15" s="96" t="s">
        <v>550</v>
      </c>
      <c r="K15" s="109" t="s">
        <v>329</v>
      </c>
      <c r="L15" s="82" t="s">
        <v>452</v>
      </c>
      <c r="M15" s="112">
        <v>44501</v>
      </c>
      <c r="N15" s="112">
        <v>46022</v>
      </c>
    </row>
    <row r="16" spans="1:14" s="39" customFormat="1" ht="208" x14ac:dyDescent="0.2">
      <c r="A16" s="85" t="s">
        <v>623</v>
      </c>
      <c r="B16" s="85" t="s">
        <v>128</v>
      </c>
      <c r="C16" s="81" t="s">
        <v>51</v>
      </c>
      <c r="D16" s="82" t="s">
        <v>344</v>
      </c>
      <c r="E16" s="81" t="s">
        <v>59</v>
      </c>
      <c r="F16" s="123">
        <f>Table81012[[#This Row],[Euro - Amounts]]*$F$2</f>
        <v>11880000</v>
      </c>
      <c r="G16" s="100">
        <v>11000000</v>
      </c>
      <c r="H16" s="99">
        <f>Table81012[[#This Row],[Total US$ ]]*$H$1</f>
        <v>202554000</v>
      </c>
      <c r="I16" s="85" t="s">
        <v>141</v>
      </c>
      <c r="J16" s="83" t="s">
        <v>626</v>
      </c>
      <c r="K16" s="109" t="s">
        <v>338</v>
      </c>
      <c r="L16" s="81" t="s">
        <v>635</v>
      </c>
      <c r="M16" s="112">
        <v>44927</v>
      </c>
      <c r="N16" s="112">
        <v>47117</v>
      </c>
    </row>
    <row r="17" spans="1:14" s="39" customFormat="1" ht="192" x14ac:dyDescent="0.2">
      <c r="A17" s="85" t="s">
        <v>624</v>
      </c>
      <c r="B17" s="85" t="s">
        <v>128</v>
      </c>
      <c r="C17" s="81" t="s">
        <v>51</v>
      </c>
      <c r="D17" s="82" t="s">
        <v>344</v>
      </c>
      <c r="E17" s="81" t="s">
        <v>625</v>
      </c>
      <c r="F17" s="123">
        <f>Table81012[[#This Row],[Euro - Amounts]]*$F$2</f>
        <v>10800000</v>
      </c>
      <c r="G17" s="100">
        <v>10000000</v>
      </c>
      <c r="H17" s="99">
        <f>Table81012[[#This Row],[Total US$ ]]*$H$1</f>
        <v>184140000</v>
      </c>
      <c r="I17" s="85" t="s">
        <v>141</v>
      </c>
      <c r="J17" s="83" t="s">
        <v>627</v>
      </c>
      <c r="K17" s="109" t="s">
        <v>338</v>
      </c>
      <c r="L17" s="81" t="s">
        <v>636</v>
      </c>
      <c r="M17" s="112">
        <v>45292</v>
      </c>
      <c r="N17" s="112">
        <v>47483</v>
      </c>
    </row>
    <row r="18" spans="1:14" s="35" customFormat="1" ht="48" x14ac:dyDescent="0.2">
      <c r="A18" s="85" t="s">
        <v>239</v>
      </c>
      <c r="B18" s="85" t="s">
        <v>128</v>
      </c>
      <c r="C18" s="81" t="s">
        <v>51</v>
      </c>
      <c r="D18" s="82" t="s">
        <v>6</v>
      </c>
      <c r="E18" s="81" t="s">
        <v>351</v>
      </c>
      <c r="F18" s="88">
        <f>Table81012[[#This Row],[Euro - Amounts]]*$F$2</f>
        <v>6480000</v>
      </c>
      <c r="G18" s="100">
        <v>6000000</v>
      </c>
      <c r="H18" s="99">
        <f>Table81012[[#This Row],[Total US$ ]]*$H$1</f>
        <v>110484000</v>
      </c>
      <c r="I18" s="85" t="s">
        <v>141</v>
      </c>
      <c r="J18" s="83" t="s">
        <v>551</v>
      </c>
      <c r="K18" s="109" t="s">
        <v>329</v>
      </c>
      <c r="L18" s="82" t="s">
        <v>453</v>
      </c>
      <c r="M18" s="112">
        <v>44713</v>
      </c>
      <c r="N18" s="112">
        <v>45808</v>
      </c>
    </row>
    <row r="19" spans="1:14" s="73" customFormat="1" ht="32" x14ac:dyDescent="0.2">
      <c r="A19" s="85" t="s">
        <v>240</v>
      </c>
      <c r="B19" s="85" t="s">
        <v>128</v>
      </c>
      <c r="C19" s="81" t="s">
        <v>51</v>
      </c>
      <c r="D19" s="82" t="s">
        <v>6</v>
      </c>
      <c r="E19" s="81" t="s">
        <v>105</v>
      </c>
      <c r="F19" s="88">
        <f>Table81012[[#This Row],[Euro - Amounts]]*$F$2</f>
        <v>6480000</v>
      </c>
      <c r="G19" s="98">
        <v>6000000</v>
      </c>
      <c r="H19" s="99">
        <f>Table81012[[#This Row],[Total US$ ]]*$H$1</f>
        <v>110484000</v>
      </c>
      <c r="I19" s="85" t="s">
        <v>141</v>
      </c>
      <c r="J19" s="83" t="s">
        <v>105</v>
      </c>
      <c r="K19" s="109" t="s">
        <v>329</v>
      </c>
      <c r="L19" s="81" t="s">
        <v>454</v>
      </c>
      <c r="M19" s="112">
        <v>44501</v>
      </c>
      <c r="N19" s="112">
        <v>45382</v>
      </c>
    </row>
    <row r="20" spans="1:14" s="35" customFormat="1" ht="48" x14ac:dyDescent="0.2">
      <c r="A20" s="85" t="s">
        <v>241</v>
      </c>
      <c r="B20" s="82" t="s">
        <v>96</v>
      </c>
      <c r="C20" s="82" t="s">
        <v>80</v>
      </c>
      <c r="D20" s="82" t="s">
        <v>6</v>
      </c>
      <c r="E20" s="82" t="s">
        <v>352</v>
      </c>
      <c r="F20" s="88">
        <f>Table81012[[#This Row],[Euro - Amounts]]*$F$2</f>
        <v>5400000</v>
      </c>
      <c r="G20" s="100">
        <v>5000000</v>
      </c>
      <c r="H20" s="99">
        <f>Table81012[[#This Row],[Total US$ ]]*$H$1</f>
        <v>92070000</v>
      </c>
      <c r="I20" s="85" t="s">
        <v>141</v>
      </c>
      <c r="J20" s="83" t="s">
        <v>552</v>
      </c>
      <c r="K20" s="109" t="s">
        <v>329</v>
      </c>
      <c r="L20" s="82" t="s">
        <v>455</v>
      </c>
      <c r="M20" s="111">
        <v>44562</v>
      </c>
      <c r="N20" s="111">
        <v>46387</v>
      </c>
    </row>
    <row r="21" spans="1:14" s="35" customFormat="1" ht="32" x14ac:dyDescent="0.2">
      <c r="A21" s="85" t="s">
        <v>242</v>
      </c>
      <c r="B21" s="82" t="s">
        <v>129</v>
      </c>
      <c r="C21" s="82" t="s">
        <v>81</v>
      </c>
      <c r="D21" s="82" t="s">
        <v>6</v>
      </c>
      <c r="E21" s="82" t="s">
        <v>92</v>
      </c>
      <c r="F21" s="88">
        <f>Table81012[[#This Row],[Euro - Amounts]]*$F$2</f>
        <v>378000</v>
      </c>
      <c r="G21" s="100">
        <v>350000</v>
      </c>
      <c r="H21" s="99">
        <f>Table81012[[#This Row],[Total US$ ]]*$H$1</f>
        <v>6444900</v>
      </c>
      <c r="I21" s="85" t="s">
        <v>141</v>
      </c>
      <c r="J21" s="83" t="s">
        <v>553</v>
      </c>
      <c r="K21" s="109" t="s">
        <v>329</v>
      </c>
      <c r="L21" s="82" t="s">
        <v>28</v>
      </c>
      <c r="M21" s="111">
        <v>44713</v>
      </c>
      <c r="N21" s="111">
        <v>45657</v>
      </c>
    </row>
    <row r="22" spans="1:14" s="35" customFormat="1" ht="32" x14ac:dyDescent="0.2">
      <c r="A22" s="85" t="s">
        <v>243</v>
      </c>
      <c r="B22" s="85" t="s">
        <v>129</v>
      </c>
      <c r="C22" s="82" t="s">
        <v>176</v>
      </c>
      <c r="D22" s="82" t="s">
        <v>6</v>
      </c>
      <c r="E22" s="82" t="s">
        <v>11</v>
      </c>
      <c r="F22" s="88">
        <f>Table81012[[#This Row],[Euro - Amounts]]*$F$2</f>
        <v>280800</v>
      </c>
      <c r="G22" s="100">
        <v>260000</v>
      </c>
      <c r="H22" s="99">
        <f>Table81012[[#This Row],[Total US$ ]]*$H$1</f>
        <v>4787640</v>
      </c>
      <c r="I22" s="85" t="s">
        <v>141</v>
      </c>
      <c r="J22" s="83"/>
      <c r="K22" s="109" t="s">
        <v>329</v>
      </c>
      <c r="L22" s="82"/>
      <c r="M22" s="111">
        <v>44896</v>
      </c>
      <c r="N22" s="111">
        <v>46111</v>
      </c>
    </row>
    <row r="23" spans="1:14" s="35" customFormat="1" ht="112" x14ac:dyDescent="0.2">
      <c r="A23" s="85" t="s">
        <v>628</v>
      </c>
      <c r="B23" s="85" t="s">
        <v>129</v>
      </c>
      <c r="C23" s="81" t="s">
        <v>629</v>
      </c>
      <c r="D23" s="82" t="s">
        <v>630</v>
      </c>
      <c r="E23" s="82"/>
      <c r="F23" s="123">
        <f>Table81012[[#This Row],[Euro - Amounts]]*$F$2</f>
        <v>32400000.000000004</v>
      </c>
      <c r="G23" s="100">
        <v>30000000</v>
      </c>
      <c r="H23" s="99">
        <f>Table81012[[#This Row],[Total US$ ]]*$H$1</f>
        <v>552420000.00000012</v>
      </c>
      <c r="I23" s="85" t="s">
        <v>141</v>
      </c>
      <c r="J23" s="83"/>
      <c r="K23" s="109" t="s">
        <v>338</v>
      </c>
      <c r="L23" s="81"/>
      <c r="M23" s="112">
        <v>45505</v>
      </c>
      <c r="N23" s="112">
        <v>46598</v>
      </c>
    </row>
    <row r="24" spans="1:14" s="39" customFormat="1" ht="80" x14ac:dyDescent="0.2">
      <c r="A24" s="85" t="s">
        <v>396</v>
      </c>
      <c r="B24" s="85" t="s">
        <v>126</v>
      </c>
      <c r="C24" s="81" t="s">
        <v>398</v>
      </c>
      <c r="D24" s="82" t="s">
        <v>631</v>
      </c>
      <c r="E24" s="82"/>
      <c r="F24" s="123">
        <f>Table81012[[#This Row],[Euro - Amounts]]*$F$2</f>
        <v>32400000.000000004</v>
      </c>
      <c r="G24" s="100">
        <v>30000000</v>
      </c>
      <c r="H24" s="99">
        <f>Table81012[[#This Row],[Total US$ ]]*$H$1</f>
        <v>552420000.00000012</v>
      </c>
      <c r="I24" s="85" t="s">
        <v>141</v>
      </c>
      <c r="J24" s="83"/>
      <c r="K24" s="109" t="s">
        <v>329</v>
      </c>
      <c r="L24" s="81" t="s">
        <v>406</v>
      </c>
      <c r="M24" s="112">
        <v>44564</v>
      </c>
      <c r="N24" s="112">
        <v>45657</v>
      </c>
    </row>
    <row r="25" spans="1:14" s="39" customFormat="1" ht="208" x14ac:dyDescent="0.2">
      <c r="A25" s="85" t="s">
        <v>397</v>
      </c>
      <c r="B25" s="85" t="s">
        <v>126</v>
      </c>
      <c r="C25" s="82" t="s">
        <v>399</v>
      </c>
      <c r="D25" s="82" t="s">
        <v>405</v>
      </c>
      <c r="E25" s="81"/>
      <c r="F25" s="123">
        <f>Table81012[[#This Row],[Euro - Amounts]]*$F$2</f>
        <v>4320000</v>
      </c>
      <c r="G25" s="98">
        <v>4000000</v>
      </c>
      <c r="H25" s="99">
        <f>Table81012[[#This Row],[Total US$ ]]*$H$1</f>
        <v>73656000</v>
      </c>
      <c r="I25" s="85" t="s">
        <v>141</v>
      </c>
      <c r="J25" s="83"/>
      <c r="K25" s="109" t="s">
        <v>329</v>
      </c>
      <c r="L25" s="81" t="s">
        <v>407</v>
      </c>
      <c r="M25" s="112">
        <v>44837</v>
      </c>
      <c r="N25" s="112">
        <v>45930</v>
      </c>
    </row>
    <row r="26" spans="1:14" x14ac:dyDescent="0.2">
      <c r="B26" s="6"/>
      <c r="C26" s="28"/>
      <c r="D26" s="28"/>
      <c r="E26" s="28"/>
      <c r="F26" s="97">
        <f>SUBTOTAL(109,Table81012[Total US$ ])</f>
        <v>277354800</v>
      </c>
      <c r="G26" s="75">
        <f>SUBTOTAL(109,Table81012[Euro - Amounts])</f>
        <v>256810000</v>
      </c>
      <c r="H26" s="91">
        <f>SUBTOTAL(109,Table81012[Total ZAR])</f>
        <v>4728899340</v>
      </c>
      <c r="I26" s="6"/>
      <c r="J26" s="56"/>
      <c r="K26" s="58"/>
      <c r="L26" s="28"/>
      <c r="M26" s="57"/>
      <c r="N26" s="57"/>
    </row>
    <row r="27" spans="1:14" x14ac:dyDescent="0.2">
      <c r="A27" s="35"/>
      <c r="B27" s="26"/>
      <c r="C27" s="14"/>
      <c r="D27" s="14"/>
      <c r="E27" s="14"/>
      <c r="F27" s="30"/>
      <c r="G27" s="30"/>
      <c r="H27" s="31"/>
      <c r="I27" s="5"/>
      <c r="J27" s="17"/>
      <c r="K27" s="27"/>
      <c r="L27" s="17"/>
      <c r="M27" s="18"/>
      <c r="N27" s="18"/>
    </row>
    <row r="28" spans="1:14" ht="27" customHeight="1" x14ac:dyDescent="0.2">
      <c r="A28" s="125" t="s">
        <v>589</v>
      </c>
      <c r="B28" s="125"/>
      <c r="C28" s="125"/>
      <c r="D28" s="125"/>
      <c r="E28" s="125"/>
      <c r="F28" s="125"/>
      <c r="G28" s="125"/>
      <c r="H28" s="125"/>
      <c r="I28" s="125"/>
      <c r="J28" s="125"/>
      <c r="K28" s="125"/>
      <c r="L28" s="125"/>
      <c r="M28" s="125"/>
      <c r="N28" s="125"/>
    </row>
    <row r="29" spans="1:14" x14ac:dyDescent="0.2">
      <c r="B29" s="1"/>
      <c r="E29" s="1"/>
      <c r="F29" s="1"/>
      <c r="G29" s="8"/>
      <c r="H29" s="1"/>
      <c r="I29" s="3"/>
      <c r="K29" s="19"/>
      <c r="L29" s="22"/>
      <c r="M29" s="22"/>
      <c r="N29" s="15"/>
    </row>
    <row r="30" spans="1:14" ht="15" customHeight="1" x14ac:dyDescent="0.2">
      <c r="A30" s="125" t="s">
        <v>590</v>
      </c>
      <c r="B30" s="125"/>
      <c r="C30" s="125"/>
      <c r="D30" s="125"/>
      <c r="E30" s="125"/>
      <c r="F30" s="125"/>
      <c r="G30" s="125"/>
      <c r="H30" s="125"/>
      <c r="I30" s="125"/>
      <c r="J30" s="125"/>
      <c r="K30" s="19"/>
      <c r="L30" s="22"/>
      <c r="M30" s="22"/>
      <c r="N30" s="15"/>
    </row>
    <row r="31" spans="1:14" x14ac:dyDescent="0.2">
      <c r="A31" s="35"/>
      <c r="B31" s="26"/>
      <c r="C31" s="13"/>
      <c r="D31" s="13"/>
      <c r="E31" s="13"/>
      <c r="F31" s="29"/>
      <c r="G31" s="29"/>
      <c r="H31" s="31"/>
      <c r="I31" s="6"/>
      <c r="J31" s="7"/>
      <c r="K31" s="27"/>
      <c r="L31" s="13"/>
      <c r="M31" s="15"/>
      <c r="N31" s="15"/>
    </row>
    <row r="32" spans="1:14" x14ac:dyDescent="0.2">
      <c r="A32" s="35"/>
      <c r="B32" s="26"/>
      <c r="C32" s="13"/>
      <c r="D32" s="13"/>
      <c r="E32" s="13"/>
      <c r="F32" s="29"/>
      <c r="G32" s="29"/>
      <c r="H32" s="31"/>
      <c r="I32" s="6"/>
      <c r="J32" s="7"/>
      <c r="K32" s="27"/>
      <c r="L32" s="13"/>
      <c r="M32" s="15"/>
      <c r="N32" s="15"/>
    </row>
    <row r="33" spans="1:14" x14ac:dyDescent="0.2">
      <c r="A33" s="35"/>
      <c r="B33" s="26"/>
      <c r="C33" s="13"/>
      <c r="D33" s="13"/>
      <c r="E33" s="13"/>
      <c r="F33" s="29"/>
      <c r="G33" s="29"/>
      <c r="H33" s="31"/>
      <c r="I33" s="6"/>
      <c r="J33" s="7"/>
      <c r="K33" s="27"/>
      <c r="L33" s="7"/>
      <c r="M33" s="15"/>
      <c r="N33" s="15"/>
    </row>
    <row r="34" spans="1:14" x14ac:dyDescent="0.2">
      <c r="A34" s="35"/>
      <c r="B34" s="26"/>
      <c r="C34" s="13"/>
      <c r="D34" s="13"/>
      <c r="E34" s="13"/>
      <c r="F34" s="29"/>
      <c r="G34" s="29"/>
      <c r="H34" s="31"/>
      <c r="I34" s="6"/>
      <c r="J34" s="7"/>
      <c r="K34" s="27"/>
      <c r="L34" s="7"/>
      <c r="M34" s="15"/>
      <c r="N34" s="15"/>
    </row>
    <row r="35" spans="1:14" x14ac:dyDescent="0.2">
      <c r="A35" s="35"/>
      <c r="B35" s="26"/>
      <c r="C35" s="13"/>
      <c r="D35" s="13"/>
      <c r="E35" s="13"/>
      <c r="F35" s="29"/>
      <c r="G35" s="29"/>
      <c r="H35" s="31"/>
      <c r="I35" s="6"/>
      <c r="J35" s="7"/>
      <c r="K35" s="27"/>
      <c r="L35" s="13"/>
      <c r="M35" s="18"/>
      <c r="N35" s="15"/>
    </row>
    <row r="36" spans="1:14" x14ac:dyDescent="0.2">
      <c r="A36" s="35"/>
      <c r="B36" s="26"/>
      <c r="C36" s="13"/>
      <c r="D36" s="13"/>
      <c r="E36" s="13"/>
      <c r="F36" s="29"/>
      <c r="G36" s="29"/>
      <c r="H36" s="31"/>
      <c r="I36" s="6"/>
      <c r="J36" s="7"/>
      <c r="K36" s="27"/>
      <c r="L36" s="7"/>
      <c r="M36" s="15"/>
      <c r="N36" s="15"/>
    </row>
    <row r="37" spans="1:14" x14ac:dyDescent="0.2">
      <c r="A37" s="35"/>
      <c r="B37" s="39"/>
      <c r="C37" s="39"/>
      <c r="D37" s="40"/>
      <c r="E37" s="40"/>
      <c r="F37" s="47"/>
      <c r="G37" s="47"/>
      <c r="H37" s="31"/>
      <c r="I37" s="5"/>
      <c r="J37" s="41"/>
      <c r="K37" s="43"/>
      <c r="L37" s="41"/>
      <c r="M37" s="48"/>
      <c r="N37" s="48"/>
    </row>
    <row r="38" spans="1:14" x14ac:dyDescent="0.2">
      <c r="A38" s="35"/>
      <c r="B38" s="35"/>
      <c r="C38" s="6"/>
      <c r="D38" s="33"/>
      <c r="E38" s="33"/>
      <c r="F38" s="49"/>
      <c r="G38" s="49"/>
      <c r="H38" s="31"/>
      <c r="I38" s="5"/>
      <c r="J38" s="36"/>
      <c r="K38" s="27"/>
      <c r="L38" s="36"/>
      <c r="M38" s="38"/>
      <c r="N38" s="38"/>
    </row>
    <row r="39" spans="1:14" x14ac:dyDescent="0.2">
      <c r="A39" s="35"/>
      <c r="B39" s="39"/>
      <c r="C39" s="5"/>
      <c r="D39" s="40"/>
      <c r="E39" s="40"/>
      <c r="F39" s="47"/>
      <c r="G39" s="47"/>
      <c r="H39" s="31"/>
      <c r="I39" s="5"/>
      <c r="J39" s="41"/>
      <c r="K39" s="43"/>
      <c r="L39" s="41"/>
      <c r="M39" s="48"/>
      <c r="N39" s="48"/>
    </row>
    <row r="40" spans="1:14" x14ac:dyDescent="0.2">
      <c r="A40" s="35"/>
      <c r="B40" s="39"/>
      <c r="C40" s="40"/>
      <c r="D40" s="40"/>
      <c r="E40" s="40"/>
      <c r="F40" s="47"/>
      <c r="G40" s="47"/>
      <c r="H40" s="31"/>
      <c r="I40" s="5"/>
      <c r="J40" s="41"/>
      <c r="K40" s="43"/>
      <c r="L40" s="41"/>
      <c r="M40" s="48"/>
      <c r="N40" s="48"/>
    </row>
    <row r="41" spans="1:14" x14ac:dyDescent="0.2">
      <c r="A41" s="35"/>
      <c r="B41" s="35"/>
      <c r="C41" s="33"/>
      <c r="D41" s="33"/>
      <c r="E41" s="33"/>
      <c r="F41" s="49"/>
      <c r="G41" s="49"/>
      <c r="H41" s="31"/>
      <c r="I41" s="6"/>
      <c r="J41" s="36"/>
      <c r="K41" s="27"/>
      <c r="L41" s="36"/>
      <c r="M41" s="38"/>
      <c r="N41" s="38"/>
    </row>
    <row r="42" spans="1:14" x14ac:dyDescent="0.2">
      <c r="A42" s="35"/>
      <c r="B42" s="39"/>
      <c r="C42" s="40"/>
      <c r="D42" s="40"/>
      <c r="E42" s="40"/>
      <c r="F42" s="39"/>
      <c r="G42" s="39"/>
      <c r="H42" s="31"/>
      <c r="I42" s="5"/>
      <c r="J42" s="41"/>
      <c r="K42" s="43"/>
      <c r="L42" s="41"/>
      <c r="M42" s="48"/>
      <c r="N42" s="48"/>
    </row>
    <row r="43" spans="1:14" x14ac:dyDescent="0.2">
      <c r="A43" s="35"/>
      <c r="B43" s="39"/>
      <c r="C43" s="40"/>
      <c r="D43" s="40"/>
      <c r="E43" s="40"/>
      <c r="F43" s="39"/>
      <c r="G43" s="39"/>
      <c r="H43" s="31"/>
      <c r="I43" s="5"/>
      <c r="J43" s="41"/>
      <c r="K43" s="43"/>
      <c r="L43" s="41"/>
      <c r="M43" s="48"/>
      <c r="N43" s="48"/>
    </row>
    <row r="44" spans="1:14" x14ac:dyDescent="0.2">
      <c r="A44" s="35"/>
      <c r="B44" s="35"/>
      <c r="C44" s="40"/>
      <c r="D44" s="33"/>
      <c r="E44" s="33"/>
      <c r="F44" s="49"/>
      <c r="G44" s="49"/>
      <c r="H44" s="31"/>
      <c r="I44" s="6"/>
      <c r="J44" s="36"/>
      <c r="K44" s="27"/>
      <c r="L44" s="36"/>
      <c r="M44" s="38"/>
      <c r="N44" s="38"/>
    </row>
    <row r="45" spans="1:14" x14ac:dyDescent="0.2">
      <c r="A45" s="35"/>
      <c r="B45" s="35"/>
      <c r="C45" s="33"/>
      <c r="D45" s="33"/>
      <c r="E45" s="33"/>
      <c r="F45" s="49"/>
      <c r="G45" s="49"/>
      <c r="H45" s="31"/>
      <c r="I45" s="6"/>
      <c r="J45" s="36"/>
      <c r="K45" s="27"/>
      <c r="L45" s="36"/>
      <c r="M45" s="38"/>
      <c r="N45" s="38"/>
    </row>
    <row r="46" spans="1:14" x14ac:dyDescent="0.2">
      <c r="A46" s="35"/>
      <c r="B46" s="39"/>
      <c r="C46" s="40"/>
      <c r="D46" s="40"/>
      <c r="E46" s="40"/>
      <c r="F46" s="39"/>
      <c r="G46" s="39"/>
      <c r="H46" s="31"/>
      <c r="I46" s="6"/>
      <c r="J46" s="41"/>
      <c r="K46" s="42"/>
      <c r="L46" s="41"/>
      <c r="M46" s="48"/>
      <c r="N46" s="48"/>
    </row>
    <row r="47" spans="1:14" x14ac:dyDescent="0.2">
      <c r="A47" s="35"/>
      <c r="B47" s="35"/>
      <c r="C47" s="33"/>
      <c r="D47" s="33"/>
      <c r="E47" s="33"/>
      <c r="F47" s="49"/>
      <c r="G47" s="49"/>
      <c r="H47" s="31"/>
      <c r="I47" s="6"/>
      <c r="J47" s="36"/>
      <c r="K47" s="27"/>
      <c r="L47" s="36"/>
      <c r="M47" s="38"/>
      <c r="N47" s="38"/>
    </row>
    <row r="48" spans="1:14" x14ac:dyDescent="0.2">
      <c r="A48" s="35"/>
      <c r="B48" s="6"/>
      <c r="C48" s="19"/>
      <c r="D48" s="14"/>
      <c r="E48" s="14"/>
      <c r="F48" s="32"/>
      <c r="G48" s="32"/>
      <c r="H48" s="31"/>
      <c r="I48" s="6"/>
      <c r="J48" s="21"/>
      <c r="K48" s="59"/>
      <c r="L48" s="19"/>
      <c r="M48" s="22"/>
      <c r="N48" s="22"/>
    </row>
    <row r="49" spans="1:14" x14ac:dyDescent="0.2">
      <c r="A49" s="35"/>
      <c r="B49" s="6"/>
      <c r="C49" s="19"/>
      <c r="D49" s="14"/>
      <c r="E49" s="14"/>
      <c r="F49" s="32"/>
      <c r="G49" s="32"/>
      <c r="H49" s="31"/>
      <c r="I49" s="6"/>
      <c r="J49" s="21"/>
      <c r="K49" s="59"/>
      <c r="L49" s="19"/>
      <c r="M49" s="22"/>
      <c r="N49" s="22"/>
    </row>
    <row r="50" spans="1:14" x14ac:dyDescent="0.2">
      <c r="A50" s="35"/>
      <c r="B50" s="6"/>
      <c r="C50" s="19"/>
      <c r="D50" s="14"/>
      <c r="E50" s="14"/>
      <c r="F50" s="32"/>
      <c r="G50" s="32"/>
      <c r="H50" s="31"/>
      <c r="I50" s="6"/>
      <c r="J50" s="21"/>
      <c r="K50" s="59"/>
      <c r="L50" s="19"/>
      <c r="M50" s="22"/>
      <c r="N50" s="22"/>
    </row>
    <row r="51" spans="1:14" x14ac:dyDescent="0.2">
      <c r="A51" s="35"/>
      <c r="B51" s="6"/>
      <c r="C51" s="19"/>
      <c r="D51" s="14"/>
      <c r="E51" s="14"/>
      <c r="F51" s="32"/>
      <c r="G51" s="32"/>
      <c r="H51" s="31"/>
      <c r="I51" s="6"/>
      <c r="J51" s="21"/>
      <c r="K51" s="59"/>
      <c r="L51" s="19"/>
      <c r="M51" s="22"/>
      <c r="N51" s="22"/>
    </row>
    <row r="52" spans="1:14" x14ac:dyDescent="0.2">
      <c r="A52" s="35"/>
      <c r="B52" s="6"/>
      <c r="C52" s="19"/>
      <c r="D52" s="14"/>
      <c r="E52" s="14"/>
      <c r="F52" s="32"/>
      <c r="G52" s="32"/>
      <c r="H52" s="31"/>
      <c r="I52" s="6"/>
      <c r="J52" s="21"/>
      <c r="K52" s="59"/>
      <c r="L52" s="19"/>
      <c r="M52" s="22"/>
      <c r="N52" s="22"/>
    </row>
    <row r="53" spans="1:14" x14ac:dyDescent="0.2">
      <c r="A53" s="35"/>
      <c r="B53" s="6"/>
      <c r="C53" s="19"/>
      <c r="D53" s="14"/>
      <c r="E53" s="14"/>
      <c r="F53" s="32"/>
      <c r="G53" s="32"/>
      <c r="H53" s="31"/>
      <c r="I53" s="6"/>
      <c r="J53" s="21"/>
      <c r="K53" s="59"/>
      <c r="L53" s="19"/>
      <c r="M53" s="22"/>
      <c r="N53" s="22"/>
    </row>
    <row r="54" spans="1:14" x14ac:dyDescent="0.2">
      <c r="A54" s="35"/>
      <c r="B54" s="6"/>
      <c r="C54" s="19"/>
      <c r="D54" s="14"/>
      <c r="E54" s="14"/>
      <c r="F54" s="32"/>
      <c r="G54" s="32"/>
      <c r="H54" s="31"/>
      <c r="I54" s="6"/>
      <c r="J54" s="21"/>
      <c r="K54" s="59"/>
      <c r="L54" s="19"/>
      <c r="M54" s="22"/>
      <c r="N54" s="22"/>
    </row>
    <row r="55" spans="1:14" x14ac:dyDescent="0.2">
      <c r="A55" s="35"/>
      <c r="B55" s="6"/>
      <c r="C55" s="19"/>
      <c r="D55" s="14"/>
      <c r="E55" s="14"/>
      <c r="F55" s="32"/>
      <c r="G55" s="32"/>
      <c r="H55" s="31"/>
      <c r="I55" s="6"/>
      <c r="J55" s="21"/>
      <c r="K55" s="59"/>
      <c r="L55" s="19"/>
      <c r="M55" s="22"/>
      <c r="N55" s="22"/>
    </row>
    <row r="56" spans="1:14" x14ac:dyDescent="0.2">
      <c r="A56" s="35"/>
      <c r="B56" s="6"/>
      <c r="C56" s="19"/>
      <c r="D56" s="14"/>
      <c r="E56" s="14"/>
      <c r="F56" s="32"/>
      <c r="G56" s="32"/>
      <c r="H56" s="31"/>
      <c r="I56" s="6"/>
      <c r="J56" s="21"/>
      <c r="K56" s="59"/>
      <c r="L56" s="19"/>
      <c r="M56" s="22"/>
      <c r="N56" s="22"/>
    </row>
    <row r="57" spans="1:14" x14ac:dyDescent="0.2">
      <c r="A57" s="35"/>
      <c r="B57" s="6"/>
      <c r="C57" s="19"/>
      <c r="D57" s="14"/>
      <c r="E57" s="14"/>
      <c r="F57" s="32"/>
      <c r="G57" s="32"/>
      <c r="H57" s="31"/>
      <c r="I57" s="6"/>
      <c r="J57" s="21"/>
      <c r="K57" s="59"/>
      <c r="L57" s="19"/>
      <c r="M57" s="22"/>
      <c r="N57" s="22"/>
    </row>
    <row r="58" spans="1:14" x14ac:dyDescent="0.2">
      <c r="A58" s="35"/>
      <c r="B58" s="6"/>
      <c r="C58" s="19"/>
      <c r="D58" s="14"/>
      <c r="E58" s="14"/>
      <c r="F58" s="32"/>
      <c r="G58" s="32"/>
      <c r="H58" s="31"/>
      <c r="I58" s="6"/>
      <c r="J58" s="21"/>
      <c r="K58" s="59"/>
      <c r="L58" s="19"/>
      <c r="M58" s="22"/>
      <c r="N58" s="22"/>
    </row>
    <row r="59" spans="1:14" x14ac:dyDescent="0.2">
      <c r="A59" s="35"/>
      <c r="B59" s="6"/>
      <c r="C59" s="19"/>
      <c r="D59" s="14"/>
      <c r="E59" s="14"/>
      <c r="F59" s="32"/>
      <c r="G59" s="32"/>
      <c r="H59" s="31"/>
      <c r="I59" s="6"/>
      <c r="J59" s="21"/>
      <c r="K59" s="59"/>
      <c r="L59" s="19"/>
      <c r="M59" s="22"/>
      <c r="N59" s="22"/>
    </row>
    <row r="60" spans="1:14" x14ac:dyDescent="0.2">
      <c r="A60" s="35"/>
      <c r="B60" s="6"/>
      <c r="C60" s="19"/>
      <c r="D60" s="14"/>
      <c r="E60" s="14"/>
      <c r="F60" s="32"/>
      <c r="G60" s="32"/>
      <c r="H60" s="31"/>
      <c r="I60" s="6"/>
      <c r="J60" s="21"/>
      <c r="K60" s="59"/>
      <c r="L60" s="19"/>
      <c r="M60" s="22"/>
      <c r="N60" s="22"/>
    </row>
    <row r="61" spans="1:14" x14ac:dyDescent="0.2">
      <c r="A61" s="35"/>
      <c r="B61" s="6"/>
      <c r="C61" s="19"/>
      <c r="D61" s="14"/>
      <c r="E61" s="14"/>
      <c r="F61" s="32"/>
      <c r="G61" s="32"/>
      <c r="H61" s="31"/>
      <c r="I61" s="6"/>
      <c r="J61" s="21"/>
      <c r="K61" s="59"/>
      <c r="L61" s="19"/>
      <c r="M61" s="22"/>
      <c r="N61" s="22"/>
    </row>
    <row r="62" spans="1:14" x14ac:dyDescent="0.2">
      <c r="A62" s="35"/>
      <c r="B62" s="6"/>
      <c r="C62" s="19"/>
      <c r="D62" s="14"/>
      <c r="E62" s="14"/>
      <c r="F62" s="32"/>
      <c r="G62" s="32"/>
      <c r="H62" s="31"/>
      <c r="I62" s="6"/>
      <c r="J62" s="21"/>
      <c r="K62" s="59"/>
      <c r="L62" s="19"/>
      <c r="M62" s="22"/>
      <c r="N62" s="22"/>
    </row>
    <row r="63" spans="1:14" x14ac:dyDescent="0.2">
      <c r="A63" s="35"/>
      <c r="B63" s="6"/>
      <c r="C63" s="19"/>
      <c r="D63" s="14"/>
      <c r="E63" s="14"/>
      <c r="F63" s="32"/>
      <c r="G63" s="32"/>
      <c r="H63" s="31"/>
      <c r="I63" s="6"/>
      <c r="J63" s="21"/>
      <c r="K63" s="59"/>
      <c r="L63" s="19"/>
      <c r="M63" s="22"/>
      <c r="N63" s="22"/>
    </row>
    <row r="64" spans="1:14" x14ac:dyDescent="0.2">
      <c r="A64" s="35"/>
      <c r="B64" s="6"/>
      <c r="C64" s="19"/>
      <c r="D64" s="14"/>
      <c r="E64" s="14"/>
      <c r="F64" s="32"/>
      <c r="G64" s="32"/>
      <c r="H64" s="31"/>
      <c r="I64" s="6"/>
      <c r="J64" s="21"/>
      <c r="K64" s="59"/>
      <c r="L64" s="19"/>
      <c r="M64" s="22"/>
      <c r="N64" s="22"/>
    </row>
    <row r="65" spans="1:14" x14ac:dyDescent="0.2">
      <c r="A65" s="35"/>
      <c r="B65" s="6"/>
      <c r="C65" s="19"/>
      <c r="D65" s="14"/>
      <c r="E65" s="14"/>
      <c r="F65" s="32"/>
      <c r="G65" s="32"/>
      <c r="H65" s="31"/>
      <c r="I65" s="6"/>
      <c r="J65" s="21"/>
      <c r="K65" s="59"/>
      <c r="L65" s="19"/>
      <c r="M65" s="22"/>
      <c r="N65" s="22"/>
    </row>
    <row r="66" spans="1:14" x14ac:dyDescent="0.2">
      <c r="A66" s="35"/>
      <c r="B66" s="6"/>
      <c r="C66" s="19"/>
      <c r="D66" s="14"/>
      <c r="E66" s="14"/>
      <c r="F66" s="32"/>
      <c r="G66" s="32"/>
      <c r="H66" s="31"/>
      <c r="I66" s="6"/>
      <c r="J66" s="21"/>
      <c r="K66" s="59"/>
      <c r="L66" s="19"/>
      <c r="M66" s="22"/>
      <c r="N66" s="22"/>
    </row>
    <row r="67" spans="1:14" x14ac:dyDescent="0.2">
      <c r="A67" s="35"/>
      <c r="B67" s="6"/>
      <c r="C67" s="19"/>
      <c r="D67" s="14"/>
      <c r="E67" s="14"/>
      <c r="F67" s="32"/>
      <c r="G67" s="32"/>
      <c r="H67" s="31"/>
      <c r="I67" s="6"/>
      <c r="J67" s="21"/>
      <c r="K67" s="59"/>
      <c r="L67" s="19"/>
      <c r="M67" s="22"/>
      <c r="N67" s="22"/>
    </row>
    <row r="68" spans="1:14" x14ac:dyDescent="0.2">
      <c r="A68" s="35"/>
      <c r="B68" s="6"/>
      <c r="C68" s="19"/>
      <c r="D68" s="14"/>
      <c r="E68" s="14"/>
      <c r="F68" s="32"/>
      <c r="G68" s="32"/>
      <c r="H68" s="31"/>
      <c r="I68" s="6"/>
      <c r="J68" s="21"/>
      <c r="K68" s="59"/>
      <c r="L68" s="19"/>
      <c r="M68" s="22"/>
      <c r="N68" s="22"/>
    </row>
    <row r="69" spans="1:14" x14ac:dyDescent="0.2">
      <c r="A69" s="35"/>
      <c r="B69" s="6"/>
      <c r="C69" s="19"/>
      <c r="D69" s="14"/>
      <c r="E69" s="14"/>
      <c r="F69" s="32"/>
      <c r="G69" s="32"/>
      <c r="H69" s="31"/>
      <c r="I69" s="6"/>
      <c r="J69" s="21"/>
      <c r="K69" s="59"/>
      <c r="L69" s="19"/>
      <c r="M69" s="22"/>
      <c r="N69" s="22"/>
    </row>
    <row r="70" spans="1:14" x14ac:dyDescent="0.2">
      <c r="A70" s="35"/>
      <c r="B70" s="6"/>
      <c r="C70" s="19"/>
      <c r="D70" s="14"/>
      <c r="E70" s="14"/>
      <c r="F70" s="32"/>
      <c r="G70" s="32"/>
      <c r="H70" s="31"/>
      <c r="I70" s="6"/>
      <c r="J70" s="21"/>
      <c r="K70" s="59"/>
      <c r="L70" s="19"/>
      <c r="M70" s="22"/>
      <c r="N70" s="22"/>
    </row>
    <row r="71" spans="1:14" x14ac:dyDescent="0.2">
      <c r="A71" s="35"/>
      <c r="B71" s="6"/>
      <c r="C71" s="19"/>
      <c r="D71" s="14"/>
      <c r="E71" s="14"/>
      <c r="F71" s="32"/>
      <c r="G71" s="32"/>
      <c r="H71" s="31"/>
      <c r="I71" s="6"/>
      <c r="J71" s="21"/>
      <c r="K71" s="59"/>
      <c r="L71" s="19"/>
      <c r="M71" s="22"/>
      <c r="N71" s="22"/>
    </row>
    <row r="72" spans="1:14" x14ac:dyDescent="0.2">
      <c r="A72" s="35"/>
      <c r="B72" s="6"/>
      <c r="C72" s="19"/>
      <c r="D72" s="14"/>
      <c r="E72" s="14"/>
      <c r="F72" s="32"/>
      <c r="G72" s="32"/>
      <c r="H72" s="31"/>
      <c r="I72" s="6"/>
      <c r="J72" s="21"/>
      <c r="K72" s="59"/>
      <c r="L72" s="19"/>
      <c r="M72" s="22"/>
      <c r="N72" s="22"/>
    </row>
    <row r="73" spans="1:14" x14ac:dyDescent="0.2">
      <c r="A73" s="35"/>
      <c r="B73" s="6"/>
      <c r="C73" s="19"/>
      <c r="D73" s="14"/>
      <c r="E73" s="14"/>
      <c r="F73" s="32"/>
      <c r="G73" s="32"/>
      <c r="H73" s="31"/>
      <c r="I73" s="6"/>
      <c r="J73" s="21"/>
      <c r="K73" s="59"/>
      <c r="L73" s="19"/>
      <c r="M73" s="22"/>
      <c r="N73" s="22"/>
    </row>
    <row r="74" spans="1:14" x14ac:dyDescent="0.2">
      <c r="A74" s="35"/>
      <c r="B74" s="6"/>
      <c r="C74" s="19"/>
      <c r="D74" s="14"/>
      <c r="E74" s="14"/>
      <c r="F74" s="32"/>
      <c r="G74" s="32"/>
      <c r="H74" s="31"/>
      <c r="I74" s="6"/>
      <c r="J74" s="21"/>
      <c r="K74" s="59"/>
      <c r="L74" s="19"/>
      <c r="M74" s="22"/>
      <c r="N74" s="22"/>
    </row>
    <row r="75" spans="1:14" x14ac:dyDescent="0.2">
      <c r="A75" s="35"/>
      <c r="B75" s="6"/>
      <c r="C75" s="19"/>
      <c r="D75" s="14"/>
      <c r="E75" s="14"/>
      <c r="F75" s="32"/>
      <c r="G75" s="32"/>
      <c r="H75" s="31"/>
      <c r="I75" s="6"/>
      <c r="J75" s="21"/>
      <c r="K75" s="59"/>
      <c r="L75" s="19"/>
      <c r="M75" s="22"/>
      <c r="N75" s="22"/>
    </row>
    <row r="76" spans="1:14" x14ac:dyDescent="0.2">
      <c r="A76" s="35"/>
      <c r="B76" s="6"/>
      <c r="C76" s="19"/>
      <c r="D76" s="14"/>
      <c r="E76" s="14"/>
      <c r="F76" s="32"/>
      <c r="G76" s="32"/>
      <c r="H76" s="31"/>
      <c r="I76" s="6"/>
      <c r="J76" s="21"/>
      <c r="K76" s="59"/>
      <c r="L76" s="19"/>
      <c r="M76" s="22"/>
      <c r="N76" s="22"/>
    </row>
    <row r="77" spans="1:14" x14ac:dyDescent="0.2">
      <c r="A77" s="35"/>
      <c r="B77" s="6"/>
      <c r="C77" s="19"/>
      <c r="D77" s="14"/>
      <c r="E77" s="14"/>
      <c r="F77" s="32"/>
      <c r="G77" s="32"/>
      <c r="H77" s="31"/>
      <c r="I77" s="6"/>
      <c r="J77" s="21"/>
      <c r="K77" s="59"/>
      <c r="L77" s="19"/>
      <c r="M77" s="22"/>
      <c r="N77" s="22"/>
    </row>
    <row r="78" spans="1:14" x14ac:dyDescent="0.2">
      <c r="A78" s="35"/>
      <c r="B78" s="6"/>
      <c r="C78" s="19"/>
      <c r="D78" s="14"/>
      <c r="E78" s="14"/>
      <c r="F78" s="32"/>
      <c r="G78" s="32"/>
      <c r="H78" s="31"/>
      <c r="I78" s="6"/>
      <c r="J78" s="21"/>
      <c r="K78" s="59"/>
      <c r="L78" s="19"/>
      <c r="M78" s="22"/>
      <c r="N78" s="22"/>
    </row>
    <row r="79" spans="1:14" x14ac:dyDescent="0.2">
      <c r="A79" s="35"/>
      <c r="B79" s="6"/>
      <c r="C79" s="19"/>
      <c r="D79" s="14"/>
      <c r="E79" s="14"/>
      <c r="F79" s="32"/>
      <c r="G79" s="32"/>
      <c r="H79" s="31"/>
      <c r="I79" s="6"/>
      <c r="J79" s="21"/>
      <c r="K79" s="59"/>
      <c r="L79" s="19"/>
      <c r="M79" s="22"/>
      <c r="N79" s="22"/>
    </row>
    <row r="80" spans="1:14" x14ac:dyDescent="0.2">
      <c r="A80" s="35"/>
      <c r="B80" s="6"/>
      <c r="C80" s="19"/>
      <c r="D80" s="14"/>
      <c r="E80" s="14"/>
      <c r="F80" s="32"/>
      <c r="G80" s="32"/>
      <c r="H80" s="31"/>
      <c r="I80" s="6"/>
      <c r="J80" s="21"/>
      <c r="K80" s="59"/>
      <c r="L80" s="19"/>
      <c r="M80" s="22"/>
      <c r="N80" s="22"/>
    </row>
    <row r="81" spans="1:14" x14ac:dyDescent="0.2">
      <c r="A81" s="35"/>
      <c r="B81" s="6"/>
      <c r="C81" s="19"/>
      <c r="D81" s="14"/>
      <c r="E81" s="14"/>
      <c r="F81" s="32"/>
      <c r="G81" s="32"/>
      <c r="H81" s="31"/>
      <c r="I81" s="6"/>
      <c r="J81" s="21"/>
      <c r="K81" s="59"/>
      <c r="L81" s="19"/>
      <c r="M81" s="22"/>
      <c r="N81" s="22"/>
    </row>
    <row r="82" spans="1:14" x14ac:dyDescent="0.2">
      <c r="A82" s="35"/>
      <c r="B82" s="6"/>
      <c r="C82" s="19"/>
      <c r="D82" s="14"/>
      <c r="E82" s="14"/>
      <c r="F82" s="32"/>
      <c r="G82" s="32"/>
      <c r="H82" s="31"/>
      <c r="I82" s="6"/>
      <c r="J82" s="21"/>
      <c r="K82" s="59"/>
      <c r="L82" s="19"/>
      <c r="M82" s="22"/>
      <c r="N82" s="22"/>
    </row>
    <row r="83" spans="1:14" x14ac:dyDescent="0.2">
      <c r="A83" s="35"/>
      <c r="B83" s="6"/>
      <c r="C83" s="19"/>
      <c r="D83" s="14"/>
      <c r="E83" s="14"/>
      <c r="F83" s="32"/>
      <c r="G83" s="32"/>
      <c r="H83" s="31"/>
      <c r="I83" s="6"/>
      <c r="J83" s="21"/>
      <c r="K83" s="59"/>
      <c r="L83" s="19"/>
      <c r="M83" s="22"/>
      <c r="N83" s="22"/>
    </row>
    <row r="84" spans="1:14" x14ac:dyDescent="0.2">
      <c r="A84" s="35"/>
      <c r="B84" s="6"/>
      <c r="C84" s="19"/>
      <c r="D84" s="14"/>
      <c r="E84" s="14"/>
      <c r="F84" s="32"/>
      <c r="G84" s="32"/>
      <c r="H84" s="31"/>
      <c r="I84" s="6"/>
      <c r="J84" s="21"/>
      <c r="K84" s="59"/>
      <c r="L84" s="19"/>
      <c r="M84" s="22"/>
      <c r="N84" s="22"/>
    </row>
    <row r="85" spans="1:14" x14ac:dyDescent="0.2">
      <c r="A85" s="35"/>
      <c r="B85" s="6"/>
      <c r="C85" s="19"/>
      <c r="D85" s="14"/>
      <c r="E85" s="14"/>
      <c r="F85" s="32"/>
      <c r="G85" s="32"/>
      <c r="H85" s="31"/>
      <c r="I85" s="6"/>
      <c r="J85" s="21"/>
      <c r="K85" s="59"/>
      <c r="L85" s="19"/>
      <c r="M85" s="22"/>
      <c r="N85" s="22"/>
    </row>
    <row r="86" spans="1:14" x14ac:dyDescent="0.2">
      <c r="A86" s="35"/>
      <c r="B86" s="6"/>
      <c r="C86" s="19"/>
      <c r="D86" s="14"/>
      <c r="E86" s="14"/>
      <c r="F86" s="32"/>
      <c r="G86" s="32"/>
      <c r="H86" s="31"/>
      <c r="I86" s="6"/>
      <c r="J86" s="21"/>
      <c r="K86" s="59"/>
      <c r="L86" s="19"/>
      <c r="M86" s="22"/>
      <c r="N86" s="22"/>
    </row>
    <row r="87" spans="1:14" x14ac:dyDescent="0.2">
      <c r="A87" s="35"/>
      <c r="B87" s="6"/>
      <c r="C87" s="19"/>
      <c r="D87" s="14"/>
      <c r="E87" s="14"/>
      <c r="F87" s="32"/>
      <c r="G87" s="32"/>
      <c r="H87" s="31"/>
      <c r="I87" s="6"/>
      <c r="J87" s="21"/>
      <c r="K87" s="59"/>
      <c r="L87" s="19"/>
      <c r="M87" s="22"/>
      <c r="N87" s="22"/>
    </row>
    <row r="88" spans="1:14" x14ac:dyDescent="0.2">
      <c r="A88" s="35"/>
      <c r="B88" s="6"/>
      <c r="C88" s="19"/>
      <c r="D88" s="14"/>
      <c r="E88" s="14"/>
      <c r="F88" s="32"/>
      <c r="G88" s="32"/>
      <c r="H88" s="31"/>
      <c r="I88" s="6"/>
      <c r="J88" s="21"/>
      <c r="K88" s="59"/>
      <c r="L88" s="19"/>
      <c r="M88" s="22"/>
      <c r="N88" s="22"/>
    </row>
    <row r="89" spans="1:14" x14ac:dyDescent="0.2">
      <c r="A89" s="35"/>
      <c r="B89" s="6"/>
      <c r="C89" s="19"/>
      <c r="D89" s="14"/>
      <c r="E89" s="14"/>
      <c r="F89" s="32"/>
      <c r="G89" s="32"/>
      <c r="H89" s="31"/>
      <c r="I89" s="6"/>
      <c r="J89" s="21"/>
      <c r="K89" s="59"/>
      <c r="L89" s="19"/>
      <c r="M89" s="22"/>
      <c r="N89" s="22"/>
    </row>
    <row r="90" spans="1:14" x14ac:dyDescent="0.2">
      <c r="A90" s="35"/>
      <c r="B90" s="6"/>
      <c r="C90" s="19"/>
      <c r="D90" s="14"/>
      <c r="E90" s="14"/>
      <c r="F90" s="32"/>
      <c r="G90" s="32"/>
      <c r="H90" s="31"/>
      <c r="I90" s="6"/>
      <c r="J90" s="21"/>
      <c r="K90" s="59"/>
      <c r="L90" s="19"/>
      <c r="M90" s="22"/>
      <c r="N90" s="22"/>
    </row>
    <row r="91" spans="1:14" x14ac:dyDescent="0.2">
      <c r="A91" s="35"/>
      <c r="B91" s="6"/>
      <c r="C91" s="19"/>
      <c r="D91" s="14"/>
      <c r="E91" s="14"/>
      <c r="F91" s="32"/>
      <c r="G91" s="32"/>
      <c r="H91" s="31"/>
      <c r="I91" s="6"/>
      <c r="J91" s="21"/>
      <c r="K91" s="59"/>
      <c r="L91" s="19"/>
      <c r="M91" s="22"/>
      <c r="N91" s="22"/>
    </row>
    <row r="92" spans="1:14" x14ac:dyDescent="0.2">
      <c r="A92" s="35"/>
      <c r="B92" s="6"/>
      <c r="C92" s="19"/>
      <c r="D92" s="14"/>
      <c r="E92" s="14"/>
      <c r="F92" s="32"/>
      <c r="G92" s="32"/>
      <c r="H92" s="31"/>
      <c r="I92" s="6"/>
      <c r="J92" s="21"/>
      <c r="K92" s="59"/>
      <c r="L92" s="19"/>
      <c r="M92" s="22"/>
      <c r="N92" s="22"/>
    </row>
    <row r="93" spans="1:14" x14ac:dyDescent="0.2">
      <c r="A93" s="35"/>
      <c r="B93" s="6"/>
      <c r="C93" s="19"/>
      <c r="D93" s="14"/>
      <c r="E93" s="14"/>
      <c r="F93" s="32"/>
      <c r="G93" s="32"/>
      <c r="H93" s="31"/>
      <c r="I93" s="6"/>
      <c r="J93" s="21"/>
      <c r="K93" s="59"/>
      <c r="L93" s="19"/>
      <c r="M93" s="22"/>
      <c r="N93" s="22"/>
    </row>
    <row r="94" spans="1:14" x14ac:dyDescent="0.2">
      <c r="A94" s="35"/>
      <c r="B94" s="6"/>
      <c r="C94" s="19"/>
      <c r="D94" s="14"/>
      <c r="E94" s="14"/>
      <c r="F94" s="32"/>
      <c r="G94" s="32"/>
      <c r="H94" s="31"/>
      <c r="I94" s="6"/>
      <c r="J94" s="21"/>
      <c r="K94" s="59"/>
      <c r="L94" s="19"/>
      <c r="M94" s="22"/>
      <c r="N94" s="22"/>
    </row>
    <row r="95" spans="1:14" x14ac:dyDescent="0.2">
      <c r="A95" s="35"/>
      <c r="B95" s="6"/>
      <c r="C95" s="19"/>
      <c r="D95" s="14"/>
      <c r="E95" s="14"/>
      <c r="F95" s="32"/>
      <c r="G95" s="32"/>
      <c r="H95" s="31"/>
      <c r="I95" s="6"/>
      <c r="J95" s="21"/>
      <c r="K95" s="59"/>
      <c r="L95" s="19"/>
      <c r="M95" s="22"/>
      <c r="N95" s="22"/>
    </row>
    <row r="96" spans="1:14" x14ac:dyDescent="0.2">
      <c r="A96" s="35"/>
      <c r="B96" s="6"/>
      <c r="C96" s="19"/>
      <c r="D96" s="14"/>
      <c r="E96" s="14"/>
      <c r="F96" s="32"/>
      <c r="G96" s="32"/>
      <c r="H96" s="31"/>
      <c r="I96" s="6"/>
      <c r="J96" s="21"/>
      <c r="K96" s="59"/>
      <c r="L96" s="19"/>
      <c r="M96" s="22"/>
      <c r="N96" s="22"/>
    </row>
    <row r="97" spans="1:14" x14ac:dyDescent="0.2">
      <c r="A97" s="35"/>
      <c r="B97" s="6"/>
      <c r="C97" s="19"/>
      <c r="D97" s="14"/>
      <c r="E97" s="14"/>
      <c r="F97" s="32"/>
      <c r="G97" s="32"/>
      <c r="H97" s="31"/>
      <c r="I97" s="6"/>
      <c r="J97" s="21"/>
      <c r="K97" s="59"/>
      <c r="L97" s="19"/>
      <c r="M97" s="22"/>
      <c r="N97" s="22"/>
    </row>
    <row r="98" spans="1:14" x14ac:dyDescent="0.2">
      <c r="A98" s="35"/>
      <c r="B98" s="6"/>
      <c r="C98" s="19"/>
      <c r="D98" s="14"/>
      <c r="E98" s="14"/>
      <c r="F98" s="32"/>
      <c r="G98" s="32"/>
      <c r="H98" s="31"/>
      <c r="I98" s="6"/>
      <c r="J98" s="21"/>
      <c r="K98" s="59"/>
      <c r="L98" s="19"/>
      <c r="M98" s="22"/>
      <c r="N98" s="22"/>
    </row>
    <row r="99" spans="1:14" x14ac:dyDescent="0.2">
      <c r="A99" s="35"/>
      <c r="B99" s="6"/>
      <c r="C99" s="19"/>
      <c r="D99" s="14"/>
      <c r="E99" s="14"/>
      <c r="F99" s="32"/>
      <c r="G99" s="32"/>
      <c r="H99" s="31"/>
      <c r="I99" s="6"/>
      <c r="J99" s="21"/>
      <c r="K99" s="59"/>
      <c r="L99" s="19"/>
      <c r="M99" s="22"/>
      <c r="N99" s="22"/>
    </row>
    <row r="100" spans="1:14" x14ac:dyDescent="0.2">
      <c r="A100" s="35"/>
      <c r="B100" s="6"/>
      <c r="C100" s="19"/>
      <c r="D100" s="14"/>
      <c r="E100" s="14"/>
      <c r="F100" s="32"/>
      <c r="G100" s="32"/>
      <c r="H100" s="31"/>
      <c r="I100" s="6"/>
      <c r="J100" s="21"/>
      <c r="K100" s="59"/>
      <c r="L100" s="19"/>
      <c r="M100" s="22"/>
      <c r="N100" s="22"/>
    </row>
    <row r="101" spans="1:14" x14ac:dyDescent="0.2">
      <c r="A101" s="35"/>
      <c r="B101" s="6"/>
      <c r="C101" s="19"/>
      <c r="D101" s="14"/>
      <c r="E101" s="14"/>
      <c r="F101" s="32"/>
      <c r="G101" s="32"/>
      <c r="H101" s="31"/>
      <c r="I101" s="6"/>
      <c r="J101" s="21"/>
      <c r="K101" s="59"/>
      <c r="L101" s="19"/>
      <c r="M101" s="22"/>
      <c r="N101" s="22"/>
    </row>
    <row r="102" spans="1:14" x14ac:dyDescent="0.2">
      <c r="A102" s="35"/>
      <c r="B102" s="6"/>
      <c r="C102" s="19"/>
      <c r="D102" s="14"/>
      <c r="E102" s="14"/>
      <c r="F102" s="32"/>
      <c r="G102" s="32"/>
      <c r="H102" s="31"/>
      <c r="I102" s="6"/>
      <c r="J102" s="21"/>
      <c r="K102" s="59"/>
      <c r="L102" s="19"/>
      <c r="M102" s="22"/>
      <c r="N102" s="22"/>
    </row>
    <row r="103" spans="1:14" x14ac:dyDescent="0.2">
      <c r="A103" s="35"/>
      <c r="B103" s="6"/>
      <c r="C103" s="19"/>
      <c r="D103" s="14"/>
      <c r="E103" s="14"/>
      <c r="F103" s="32"/>
      <c r="G103" s="32"/>
      <c r="H103" s="31"/>
      <c r="I103" s="6"/>
      <c r="J103" s="21"/>
      <c r="K103" s="59"/>
      <c r="L103" s="19"/>
      <c r="M103" s="22"/>
      <c r="N103" s="22"/>
    </row>
    <row r="104" spans="1:14" x14ac:dyDescent="0.2">
      <c r="A104" s="35"/>
      <c r="B104" s="6"/>
      <c r="C104" s="19"/>
      <c r="D104" s="14"/>
      <c r="E104" s="14"/>
      <c r="F104" s="32"/>
      <c r="G104" s="32"/>
      <c r="H104" s="31"/>
      <c r="I104" s="6"/>
      <c r="J104" s="21"/>
      <c r="K104" s="59"/>
      <c r="L104" s="19"/>
      <c r="M104" s="22"/>
      <c r="N104" s="22"/>
    </row>
    <row r="105" spans="1:14" x14ac:dyDescent="0.2">
      <c r="A105" s="35"/>
      <c r="B105" s="6"/>
      <c r="C105" s="19"/>
      <c r="D105" s="14"/>
      <c r="E105" s="14"/>
      <c r="F105" s="32"/>
      <c r="G105" s="32"/>
      <c r="H105" s="31"/>
      <c r="I105" s="6"/>
      <c r="J105" s="21"/>
      <c r="K105" s="59"/>
      <c r="L105" s="19"/>
      <c r="M105" s="22"/>
      <c r="N105" s="22"/>
    </row>
    <row r="106" spans="1:14" x14ac:dyDescent="0.2">
      <c r="A106" s="35"/>
      <c r="B106" s="6"/>
      <c r="C106" s="19"/>
      <c r="D106" s="14"/>
      <c r="E106" s="14"/>
      <c r="F106" s="32"/>
      <c r="G106" s="32"/>
      <c r="H106" s="31"/>
      <c r="I106" s="6"/>
      <c r="J106" s="21"/>
      <c r="K106" s="59"/>
      <c r="L106" s="19"/>
      <c r="M106" s="22"/>
      <c r="N106" s="22"/>
    </row>
    <row r="107" spans="1:14" x14ac:dyDescent="0.2">
      <c r="A107" s="35"/>
      <c r="B107" s="6"/>
      <c r="C107" s="19"/>
      <c r="D107" s="14"/>
      <c r="E107" s="14"/>
      <c r="F107" s="32"/>
      <c r="G107" s="32"/>
      <c r="H107" s="31"/>
      <c r="I107" s="6"/>
      <c r="J107" s="21"/>
      <c r="K107" s="59"/>
      <c r="L107" s="19"/>
      <c r="M107" s="22"/>
      <c r="N107" s="22"/>
    </row>
    <row r="108" spans="1:14" x14ac:dyDescent="0.2">
      <c r="A108" s="35"/>
      <c r="B108" s="6"/>
      <c r="C108" s="19"/>
      <c r="D108" s="14"/>
      <c r="E108" s="14"/>
      <c r="F108" s="32"/>
      <c r="G108" s="32"/>
      <c r="H108" s="31"/>
      <c r="I108" s="6"/>
      <c r="J108" s="21"/>
      <c r="K108" s="59"/>
      <c r="L108" s="19"/>
      <c r="M108" s="22"/>
      <c r="N108" s="22"/>
    </row>
    <row r="109" spans="1:14" x14ac:dyDescent="0.2">
      <c r="A109" s="35"/>
      <c r="B109" s="6"/>
      <c r="C109" s="19"/>
      <c r="D109" s="14"/>
      <c r="E109" s="14"/>
      <c r="F109" s="32"/>
      <c r="G109" s="32"/>
      <c r="H109" s="31"/>
      <c r="I109" s="6"/>
      <c r="J109" s="21"/>
      <c r="K109" s="59"/>
      <c r="L109" s="19"/>
      <c r="M109" s="22"/>
      <c r="N109" s="22"/>
    </row>
    <row r="110" spans="1:14" x14ac:dyDescent="0.2">
      <c r="A110" s="35"/>
      <c r="B110" s="6"/>
      <c r="C110" s="19"/>
      <c r="D110" s="14"/>
      <c r="E110" s="14"/>
      <c r="F110" s="32"/>
      <c r="G110" s="32"/>
      <c r="H110" s="31"/>
      <c r="I110" s="6"/>
      <c r="J110" s="21"/>
      <c r="K110" s="59"/>
      <c r="L110" s="19"/>
      <c r="M110" s="22"/>
      <c r="N110" s="22"/>
    </row>
    <row r="111" spans="1:14" x14ac:dyDescent="0.2">
      <c r="A111" s="35"/>
      <c r="B111" s="6"/>
      <c r="C111" s="19"/>
      <c r="D111" s="14"/>
      <c r="E111" s="14"/>
      <c r="F111" s="32"/>
      <c r="G111" s="32"/>
      <c r="H111" s="31"/>
      <c r="I111" s="6"/>
      <c r="J111" s="21"/>
      <c r="K111" s="59"/>
      <c r="L111" s="19"/>
      <c r="M111" s="22"/>
      <c r="N111" s="22"/>
    </row>
    <row r="112" spans="1:14" x14ac:dyDescent="0.2">
      <c r="A112" s="35"/>
      <c r="B112" s="6"/>
      <c r="C112" s="19"/>
      <c r="D112" s="14"/>
      <c r="E112" s="14"/>
      <c r="F112" s="32"/>
      <c r="G112" s="32"/>
      <c r="H112" s="31"/>
      <c r="I112" s="6"/>
      <c r="J112" s="21"/>
      <c r="K112" s="59"/>
      <c r="L112" s="19"/>
      <c r="M112" s="22"/>
      <c r="N112" s="22"/>
    </row>
    <row r="113" spans="1:14" x14ac:dyDescent="0.2">
      <c r="A113" s="35"/>
      <c r="B113" s="6"/>
      <c r="C113" s="19"/>
      <c r="D113" s="14"/>
      <c r="E113" s="14"/>
      <c r="F113" s="32"/>
      <c r="G113" s="32"/>
      <c r="H113" s="31"/>
      <c r="I113" s="6"/>
      <c r="J113" s="21"/>
      <c r="K113" s="59"/>
      <c r="L113" s="19"/>
      <c r="M113" s="22"/>
      <c r="N113" s="22"/>
    </row>
    <row r="114" spans="1:14" x14ac:dyDescent="0.2">
      <c r="A114" s="35"/>
      <c r="B114" s="6"/>
      <c r="C114" s="19"/>
      <c r="D114" s="14"/>
      <c r="E114" s="14"/>
      <c r="F114" s="32"/>
      <c r="G114" s="32"/>
      <c r="H114" s="31"/>
      <c r="I114" s="6"/>
      <c r="J114" s="21"/>
      <c r="K114" s="59"/>
      <c r="L114" s="19"/>
      <c r="M114" s="22"/>
      <c r="N114" s="22"/>
    </row>
    <row r="115" spans="1:14" x14ac:dyDescent="0.2">
      <c r="A115" s="35"/>
      <c r="B115" s="6"/>
      <c r="C115" s="19"/>
      <c r="D115" s="14"/>
      <c r="E115" s="14"/>
      <c r="F115" s="32"/>
      <c r="G115" s="32"/>
      <c r="H115" s="31"/>
      <c r="I115" s="6"/>
      <c r="J115" s="21"/>
      <c r="K115" s="59"/>
      <c r="L115" s="19"/>
      <c r="M115" s="22"/>
      <c r="N115" s="22"/>
    </row>
    <row r="116" spans="1:14" x14ac:dyDescent="0.2">
      <c r="A116" s="35"/>
      <c r="B116" s="6"/>
      <c r="C116" s="19"/>
      <c r="D116" s="14"/>
      <c r="E116" s="14"/>
      <c r="F116" s="32"/>
      <c r="G116" s="32"/>
      <c r="H116" s="31"/>
      <c r="I116" s="6"/>
      <c r="J116" s="21"/>
      <c r="K116" s="59"/>
      <c r="L116" s="19"/>
      <c r="M116" s="22"/>
      <c r="N116" s="22"/>
    </row>
    <row r="117" spans="1:14" x14ac:dyDescent="0.2">
      <c r="A117" s="35"/>
      <c r="B117" s="6"/>
      <c r="C117" s="19"/>
      <c r="D117" s="14"/>
      <c r="E117" s="14"/>
      <c r="F117" s="32"/>
      <c r="G117" s="32"/>
      <c r="H117" s="31"/>
      <c r="I117" s="6"/>
      <c r="J117" s="21"/>
      <c r="K117" s="59"/>
      <c r="L117" s="19"/>
      <c r="M117" s="22"/>
      <c r="N117" s="22"/>
    </row>
    <row r="118" spans="1:14" x14ac:dyDescent="0.2">
      <c r="A118" s="35"/>
      <c r="B118" s="6"/>
      <c r="C118" s="19"/>
      <c r="D118" s="14"/>
      <c r="E118" s="14"/>
      <c r="F118" s="32"/>
      <c r="G118" s="32"/>
      <c r="H118" s="31"/>
      <c r="I118" s="6"/>
      <c r="J118" s="21"/>
      <c r="K118" s="59"/>
      <c r="L118" s="19"/>
      <c r="M118" s="22"/>
      <c r="N118" s="22"/>
    </row>
    <row r="119" spans="1:14" x14ac:dyDescent="0.2">
      <c r="A119" s="35"/>
      <c r="B119" s="6"/>
      <c r="C119" s="19"/>
      <c r="D119" s="14"/>
      <c r="E119" s="14"/>
      <c r="F119" s="32"/>
      <c r="G119" s="32"/>
      <c r="H119" s="31"/>
      <c r="I119" s="6"/>
      <c r="J119" s="21"/>
      <c r="K119" s="59"/>
      <c r="L119" s="19"/>
      <c r="M119" s="22"/>
      <c r="N119" s="22"/>
    </row>
    <row r="120" spans="1:14" x14ac:dyDescent="0.2">
      <c r="A120" s="35"/>
      <c r="B120" s="6"/>
      <c r="C120" s="19"/>
      <c r="D120" s="14"/>
      <c r="E120" s="14"/>
      <c r="F120" s="32"/>
      <c r="G120" s="32"/>
      <c r="H120" s="31"/>
      <c r="I120" s="6"/>
      <c r="J120" s="21"/>
      <c r="K120" s="59"/>
      <c r="L120" s="19"/>
      <c r="M120" s="22"/>
      <c r="N120" s="22"/>
    </row>
    <row r="121" spans="1:14" x14ac:dyDescent="0.2">
      <c r="A121" s="35"/>
      <c r="B121" s="6"/>
      <c r="C121" s="19"/>
      <c r="D121" s="14"/>
      <c r="E121" s="14"/>
      <c r="F121" s="32"/>
      <c r="G121" s="32"/>
      <c r="H121" s="31"/>
      <c r="I121" s="6"/>
      <c r="J121" s="21"/>
      <c r="K121" s="59"/>
      <c r="L121" s="19"/>
      <c r="M121" s="22"/>
      <c r="N121" s="22"/>
    </row>
    <row r="122" spans="1:14" x14ac:dyDescent="0.2">
      <c r="A122" s="35"/>
      <c r="B122" s="6"/>
      <c r="C122" s="19"/>
      <c r="D122" s="14"/>
      <c r="E122" s="14"/>
      <c r="F122" s="32"/>
      <c r="G122" s="32"/>
      <c r="H122" s="31"/>
      <c r="I122" s="6"/>
      <c r="J122" s="21"/>
      <c r="K122" s="59"/>
      <c r="L122" s="19"/>
      <c r="M122" s="22"/>
      <c r="N122" s="22"/>
    </row>
    <row r="123" spans="1:14" x14ac:dyDescent="0.2">
      <c r="A123" s="35"/>
      <c r="B123" s="6"/>
      <c r="C123" s="19"/>
      <c r="D123" s="14"/>
      <c r="E123" s="14"/>
      <c r="F123" s="32"/>
      <c r="G123" s="32"/>
      <c r="H123" s="31"/>
      <c r="I123" s="6"/>
      <c r="J123" s="21"/>
      <c r="K123" s="59"/>
      <c r="L123" s="19"/>
      <c r="M123" s="22"/>
      <c r="N123" s="22"/>
    </row>
    <row r="124" spans="1:14" x14ac:dyDescent="0.2">
      <c r="A124" s="35"/>
      <c r="B124" s="6"/>
      <c r="C124" s="19"/>
      <c r="D124" s="14"/>
      <c r="E124" s="14"/>
      <c r="F124" s="32"/>
      <c r="G124" s="32"/>
      <c r="H124" s="31"/>
      <c r="I124" s="6"/>
      <c r="J124" s="21"/>
      <c r="K124" s="59"/>
      <c r="L124" s="19"/>
      <c r="M124" s="22"/>
      <c r="N124" s="22"/>
    </row>
    <row r="125" spans="1:14" x14ac:dyDescent="0.2">
      <c r="A125" s="35"/>
      <c r="B125" s="6"/>
      <c r="C125" s="19"/>
      <c r="D125" s="14"/>
      <c r="E125" s="14"/>
      <c r="F125" s="32"/>
      <c r="G125" s="32"/>
      <c r="H125" s="31"/>
      <c r="I125" s="6"/>
      <c r="J125" s="21"/>
      <c r="K125" s="59"/>
      <c r="L125" s="19"/>
      <c r="M125" s="22"/>
      <c r="N125" s="22"/>
    </row>
    <row r="126" spans="1:14" x14ac:dyDescent="0.2">
      <c r="A126" s="35"/>
      <c r="B126" s="6"/>
      <c r="C126" s="19"/>
      <c r="D126" s="14"/>
      <c r="E126" s="14"/>
      <c r="F126" s="32"/>
      <c r="G126" s="32"/>
      <c r="H126" s="31"/>
      <c r="I126" s="6"/>
      <c r="J126" s="21"/>
      <c r="K126" s="59"/>
      <c r="L126" s="19"/>
      <c r="M126" s="22"/>
      <c r="N126" s="22"/>
    </row>
    <row r="127" spans="1:14" x14ac:dyDescent="0.2">
      <c r="A127" s="35"/>
      <c r="B127" s="6"/>
      <c r="C127" s="19"/>
      <c r="D127" s="14"/>
      <c r="E127" s="14"/>
      <c r="F127" s="32"/>
      <c r="G127" s="32"/>
      <c r="H127" s="31"/>
      <c r="I127" s="6"/>
      <c r="J127" s="21"/>
      <c r="K127" s="59"/>
      <c r="L127" s="19"/>
      <c r="M127" s="22"/>
      <c r="N127" s="22"/>
    </row>
    <row r="128" spans="1:14" x14ac:dyDescent="0.2">
      <c r="A128" s="35"/>
      <c r="B128" s="6"/>
      <c r="C128" s="19"/>
      <c r="D128" s="14"/>
      <c r="E128" s="14"/>
      <c r="F128" s="32"/>
      <c r="G128" s="32"/>
      <c r="H128" s="31"/>
      <c r="I128" s="6"/>
      <c r="J128" s="21"/>
      <c r="K128" s="59"/>
      <c r="L128" s="19"/>
      <c r="M128" s="22"/>
      <c r="N128" s="22"/>
    </row>
    <row r="129" spans="1:14" x14ac:dyDescent="0.2">
      <c r="A129" s="35"/>
      <c r="B129" s="6"/>
      <c r="C129" s="19"/>
      <c r="D129" s="14"/>
      <c r="E129" s="14"/>
      <c r="F129" s="32"/>
      <c r="G129" s="32"/>
      <c r="H129" s="31"/>
      <c r="I129" s="6"/>
      <c r="J129" s="21"/>
      <c r="K129" s="59"/>
      <c r="L129" s="19"/>
      <c r="M129" s="22"/>
      <c r="N129" s="22"/>
    </row>
    <row r="130" spans="1:14" x14ac:dyDescent="0.2">
      <c r="A130" s="35"/>
      <c r="B130" s="6"/>
      <c r="C130" s="19"/>
      <c r="D130" s="14"/>
      <c r="E130" s="14"/>
      <c r="F130" s="32"/>
      <c r="G130" s="32"/>
      <c r="H130" s="31"/>
      <c r="I130" s="6"/>
      <c r="J130" s="21"/>
      <c r="K130" s="59"/>
      <c r="L130" s="19"/>
      <c r="M130" s="22"/>
      <c r="N130" s="22"/>
    </row>
    <row r="131" spans="1:14" x14ac:dyDescent="0.2">
      <c r="A131" s="35"/>
      <c r="B131" s="6"/>
      <c r="C131" s="19"/>
      <c r="D131" s="14"/>
      <c r="E131" s="14"/>
      <c r="F131" s="32"/>
      <c r="G131" s="32"/>
      <c r="H131" s="31"/>
      <c r="I131" s="6"/>
      <c r="J131" s="21"/>
      <c r="K131" s="59"/>
      <c r="L131" s="19"/>
      <c r="M131" s="22"/>
      <c r="N131" s="22"/>
    </row>
    <row r="132" spans="1:14" x14ac:dyDescent="0.2">
      <c r="A132" s="35"/>
      <c r="B132" s="6"/>
      <c r="C132" s="19"/>
      <c r="D132" s="14"/>
      <c r="E132" s="14"/>
      <c r="F132" s="32"/>
      <c r="G132" s="32"/>
      <c r="H132" s="31"/>
      <c r="I132" s="6"/>
      <c r="J132" s="21"/>
      <c r="K132" s="59"/>
      <c r="L132" s="19"/>
      <c r="M132" s="22"/>
      <c r="N132" s="22"/>
    </row>
    <row r="133" spans="1:14" x14ac:dyDescent="0.2">
      <c r="A133" s="35"/>
      <c r="B133" s="6"/>
      <c r="C133" s="19"/>
      <c r="D133" s="14"/>
      <c r="E133" s="14"/>
      <c r="F133" s="32"/>
      <c r="G133" s="32"/>
      <c r="H133" s="31"/>
      <c r="I133" s="6"/>
      <c r="J133" s="21"/>
      <c r="K133" s="59"/>
      <c r="L133" s="19"/>
      <c r="M133" s="22"/>
      <c r="N133" s="22"/>
    </row>
    <row r="134" spans="1:14" x14ac:dyDescent="0.2">
      <c r="A134" s="35"/>
      <c r="B134" s="6"/>
      <c r="C134" s="19"/>
      <c r="D134" s="14"/>
      <c r="E134" s="14"/>
      <c r="F134" s="32"/>
      <c r="G134" s="32"/>
      <c r="H134" s="31"/>
      <c r="I134" s="6"/>
      <c r="J134" s="21"/>
      <c r="K134" s="59"/>
      <c r="L134" s="19"/>
      <c r="M134" s="22"/>
      <c r="N134" s="22"/>
    </row>
    <row r="135" spans="1:14" x14ac:dyDescent="0.2">
      <c r="A135" s="35"/>
      <c r="B135" s="6"/>
      <c r="C135" s="19"/>
      <c r="D135" s="14"/>
      <c r="E135" s="14"/>
      <c r="F135" s="32"/>
      <c r="G135" s="32"/>
      <c r="H135" s="31"/>
      <c r="I135" s="6"/>
      <c r="J135" s="21"/>
      <c r="K135" s="59"/>
      <c r="L135" s="19"/>
      <c r="M135" s="22"/>
      <c r="N135" s="22"/>
    </row>
    <row r="136" spans="1:14" x14ac:dyDescent="0.2">
      <c r="A136" s="35"/>
      <c r="B136" s="6"/>
      <c r="C136" s="19"/>
      <c r="D136" s="14"/>
      <c r="E136" s="14"/>
      <c r="F136" s="32"/>
      <c r="G136" s="32"/>
      <c r="H136" s="31"/>
      <c r="I136" s="6"/>
      <c r="J136" s="21"/>
      <c r="K136" s="59"/>
      <c r="L136" s="19"/>
      <c r="M136" s="22"/>
      <c r="N136" s="22"/>
    </row>
    <row r="137" spans="1:14" x14ac:dyDescent="0.2">
      <c r="A137" s="35"/>
      <c r="B137" s="6"/>
      <c r="C137" s="19"/>
      <c r="D137" s="14"/>
      <c r="E137" s="14"/>
      <c r="F137" s="32"/>
      <c r="G137" s="32"/>
      <c r="H137" s="31"/>
      <c r="I137" s="6"/>
      <c r="J137" s="21"/>
      <c r="K137" s="59"/>
      <c r="L137" s="19"/>
      <c r="M137" s="22"/>
      <c r="N137" s="22"/>
    </row>
    <row r="138" spans="1:14" x14ac:dyDescent="0.2">
      <c r="A138" s="35"/>
      <c r="B138" s="6"/>
      <c r="C138" s="19"/>
      <c r="D138" s="14"/>
      <c r="E138" s="14"/>
      <c r="F138" s="32"/>
      <c r="G138" s="32"/>
      <c r="H138" s="31"/>
      <c r="I138" s="6"/>
      <c r="J138" s="21"/>
      <c r="K138" s="59"/>
      <c r="L138" s="19"/>
      <c r="M138" s="22"/>
      <c r="N138" s="22"/>
    </row>
    <row r="139" spans="1:14" x14ac:dyDescent="0.2">
      <c r="A139" s="35"/>
      <c r="B139" s="6"/>
      <c r="C139" s="19"/>
      <c r="D139" s="14"/>
      <c r="E139" s="14"/>
      <c r="F139" s="32"/>
      <c r="G139" s="32"/>
      <c r="H139" s="31"/>
      <c r="I139" s="6"/>
      <c r="J139" s="21"/>
      <c r="K139" s="59"/>
      <c r="L139" s="19"/>
      <c r="M139" s="22"/>
      <c r="N139" s="22"/>
    </row>
    <row r="140" spans="1:14" x14ac:dyDescent="0.2">
      <c r="A140" s="35"/>
      <c r="B140" s="6"/>
      <c r="C140" s="19"/>
      <c r="D140" s="14"/>
      <c r="E140" s="14"/>
      <c r="F140" s="32"/>
      <c r="G140" s="32"/>
      <c r="H140" s="31"/>
      <c r="I140" s="6"/>
      <c r="J140" s="21"/>
      <c r="K140" s="59"/>
      <c r="L140" s="19"/>
      <c r="M140" s="22"/>
      <c r="N140" s="22"/>
    </row>
    <row r="141" spans="1:14" x14ac:dyDescent="0.2">
      <c r="A141" s="35"/>
      <c r="B141" s="6"/>
      <c r="C141" s="19"/>
      <c r="D141" s="14"/>
      <c r="E141" s="14"/>
      <c r="F141" s="32"/>
      <c r="G141" s="32"/>
      <c r="H141" s="31"/>
      <c r="I141" s="6"/>
      <c r="J141" s="21"/>
      <c r="K141" s="59"/>
      <c r="L141" s="19"/>
      <c r="M141" s="22"/>
      <c r="N141" s="22"/>
    </row>
    <row r="142" spans="1:14" x14ac:dyDescent="0.2">
      <c r="A142" s="35"/>
      <c r="B142" s="6"/>
      <c r="C142" s="19"/>
      <c r="D142" s="14"/>
      <c r="E142" s="14"/>
      <c r="F142" s="32"/>
      <c r="G142" s="32"/>
      <c r="H142" s="31"/>
      <c r="I142" s="6"/>
      <c r="J142" s="21"/>
      <c r="K142" s="59"/>
      <c r="L142" s="19"/>
      <c r="M142" s="22"/>
      <c r="N142" s="22"/>
    </row>
    <row r="143" spans="1:14" x14ac:dyDescent="0.2">
      <c r="A143" s="35"/>
      <c r="B143" s="6"/>
      <c r="C143" s="19"/>
      <c r="D143" s="14"/>
      <c r="E143" s="14"/>
      <c r="F143" s="32"/>
      <c r="G143" s="32"/>
      <c r="H143" s="31"/>
      <c r="I143" s="6"/>
      <c r="J143" s="21"/>
      <c r="K143" s="59"/>
      <c r="L143" s="19"/>
      <c r="M143" s="22"/>
      <c r="N143" s="22"/>
    </row>
    <row r="144" spans="1:14" x14ac:dyDescent="0.2">
      <c r="A144" s="35"/>
      <c r="B144" s="6"/>
      <c r="C144" s="19"/>
      <c r="D144" s="14"/>
      <c r="E144" s="14"/>
      <c r="F144" s="32"/>
      <c r="G144" s="32"/>
      <c r="H144" s="31"/>
      <c r="I144" s="6"/>
      <c r="J144" s="21"/>
      <c r="K144" s="59"/>
      <c r="L144" s="19"/>
      <c r="M144" s="22"/>
      <c r="N144" s="22"/>
    </row>
    <row r="145" spans="1:14" x14ac:dyDescent="0.2">
      <c r="A145" s="35"/>
      <c r="B145" s="6"/>
      <c r="C145" s="19"/>
      <c r="D145" s="14"/>
      <c r="E145" s="14"/>
      <c r="F145" s="32"/>
      <c r="G145" s="32"/>
      <c r="H145" s="31"/>
      <c r="I145" s="6"/>
      <c r="J145" s="21"/>
      <c r="K145" s="59"/>
      <c r="L145" s="19"/>
      <c r="M145" s="22"/>
      <c r="N145" s="22"/>
    </row>
    <row r="146" spans="1:14" x14ac:dyDescent="0.2">
      <c r="A146" s="35"/>
      <c r="B146" s="6"/>
      <c r="C146" s="19"/>
      <c r="D146" s="14"/>
      <c r="E146" s="14"/>
      <c r="F146" s="32"/>
      <c r="G146" s="32"/>
      <c r="H146" s="31"/>
      <c r="I146" s="6"/>
      <c r="J146" s="21"/>
      <c r="K146" s="59"/>
      <c r="L146" s="19"/>
      <c r="M146" s="22"/>
      <c r="N146" s="22"/>
    </row>
    <row r="147" spans="1:14" x14ac:dyDescent="0.2">
      <c r="A147" s="35"/>
      <c r="B147" s="6"/>
      <c r="C147" s="19"/>
      <c r="D147" s="14"/>
      <c r="E147" s="14"/>
      <c r="F147" s="32"/>
      <c r="G147" s="32"/>
      <c r="H147" s="31"/>
      <c r="I147" s="6"/>
      <c r="J147" s="21"/>
      <c r="K147" s="59"/>
      <c r="L147" s="19"/>
      <c r="M147" s="22"/>
      <c r="N147" s="22"/>
    </row>
    <row r="148" spans="1:14" x14ac:dyDescent="0.2">
      <c r="A148" s="35"/>
      <c r="B148" s="6"/>
      <c r="C148" s="19"/>
      <c r="D148" s="14"/>
      <c r="E148" s="14"/>
      <c r="F148" s="32"/>
      <c r="G148" s="32"/>
      <c r="H148" s="31"/>
      <c r="I148" s="6"/>
      <c r="J148" s="21"/>
      <c r="K148" s="59"/>
      <c r="L148" s="19"/>
      <c r="M148" s="22"/>
      <c r="N148" s="22"/>
    </row>
    <row r="149" spans="1:14" x14ac:dyDescent="0.2">
      <c r="A149" s="35"/>
      <c r="B149" s="6"/>
      <c r="C149" s="19"/>
      <c r="D149" s="14"/>
      <c r="E149" s="14"/>
      <c r="F149" s="32"/>
      <c r="G149" s="32"/>
      <c r="H149" s="31"/>
      <c r="I149" s="6"/>
      <c r="J149" s="21"/>
      <c r="K149" s="59"/>
      <c r="L149" s="19"/>
      <c r="M149" s="22"/>
      <c r="N149" s="22"/>
    </row>
    <row r="150" spans="1:14" x14ac:dyDescent="0.2">
      <c r="A150" s="35"/>
      <c r="B150" s="6"/>
      <c r="C150" s="19"/>
      <c r="D150" s="14"/>
      <c r="E150" s="14"/>
      <c r="F150" s="32"/>
      <c r="G150" s="32"/>
      <c r="H150" s="31"/>
      <c r="I150" s="6"/>
      <c r="J150" s="21"/>
      <c r="K150" s="59"/>
      <c r="L150" s="19"/>
      <c r="M150" s="22"/>
      <c r="N150" s="22"/>
    </row>
  </sheetData>
  <mergeCells count="3">
    <mergeCell ref="H1:H2"/>
    <mergeCell ref="A30:J30"/>
    <mergeCell ref="A28:N28"/>
  </mergeCells>
  <phoneticPr fontId="1" type="noConversion"/>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B30DF241-E7BC-E64F-B218-2E5E4A00352A}">
          <x14:formula1>
            <xm:f>Dropdowns!$C$2:$C$8</xm:f>
          </x14:formula1>
          <xm:sqref>B27 B31:B150 B4:B25</xm:sqref>
        </x14:dataValidation>
        <x14:dataValidation type="list" allowBlank="1" showInputMessage="1" showErrorMessage="1" xr:uid="{3A7974BB-4563-7442-8F09-4FC42F105856}">
          <x14:formula1>
            <xm:f>Dropdowns!$K$2:$K$6</xm:f>
          </x14:formula1>
          <xm:sqref>K47:K150 K31:K45 K27 K4:K25</xm:sqref>
        </x14:dataValidation>
        <x14:dataValidation type="list" allowBlank="1" showInputMessage="1" showErrorMessage="1" xr:uid="{24BEBA55-0F62-C44D-B18D-4292F1166D76}">
          <x14:formula1>
            <xm:f>Dropdowns!$I$2:$I$15</xm:f>
          </x14:formula1>
          <xm:sqref>I31:I150 I27 I4:I25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65B0-420E-D346-8AFB-3925E0323597}">
  <dimension ref="A1:M135"/>
  <sheetViews>
    <sheetView showGridLines="0" topLeftCell="A14" zoomScale="120" zoomScaleNormal="120" workbookViewId="0">
      <selection activeCell="A19" sqref="A19:M21"/>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6640625" bestFit="1" customWidth="1"/>
    <col min="6" max="6" width="14.6640625" bestFit="1" customWidth="1"/>
    <col min="7" max="7" width="14.1640625" bestFit="1" customWidth="1"/>
    <col min="9" max="9" width="30.6640625" customWidth="1"/>
    <col min="10" max="10" width="16" customWidth="1"/>
    <col min="11" max="11" width="51.83203125" customWidth="1"/>
    <col min="12" max="12" width="23.6640625" bestFit="1" customWidth="1"/>
    <col min="13" max="13" width="26.1640625" bestFit="1" customWidth="1"/>
  </cols>
  <sheetData>
    <row r="1" spans="1:13" x14ac:dyDescent="0.2">
      <c r="E1" s="68" t="s">
        <v>115</v>
      </c>
      <c r="G1" s="126">
        <v>17.05</v>
      </c>
    </row>
    <row r="2" spans="1:13" ht="16" thickBot="1" x14ac:dyDescent="0.25">
      <c r="E2" s="67">
        <v>1.08</v>
      </c>
      <c r="G2" s="127"/>
    </row>
    <row r="3" spans="1:13" ht="16" x14ac:dyDescent="0.2">
      <c r="A3" t="s">
        <v>183</v>
      </c>
      <c r="B3" s="51" t="s">
        <v>152</v>
      </c>
      <c r="C3" s="53" t="s">
        <v>117</v>
      </c>
      <c r="D3" t="s">
        <v>526</v>
      </c>
      <c r="E3" s="52" t="s">
        <v>256</v>
      </c>
      <c r="F3" s="52" t="s">
        <v>318</v>
      </c>
      <c r="G3" s="52" t="s">
        <v>70</v>
      </c>
      <c r="H3" s="52" t="s">
        <v>154</v>
      </c>
      <c r="I3" t="s">
        <v>527</v>
      </c>
      <c r="J3" s="54" t="s">
        <v>116</v>
      </c>
      <c r="K3" s="1" t="s">
        <v>428</v>
      </c>
      <c r="L3" s="55" t="s">
        <v>113</v>
      </c>
      <c r="M3" s="55" t="s">
        <v>112</v>
      </c>
    </row>
    <row r="4" spans="1:13" ht="64" x14ac:dyDescent="0.2">
      <c r="A4" s="85" t="s">
        <v>247</v>
      </c>
      <c r="B4" s="85" t="s">
        <v>125</v>
      </c>
      <c r="C4" s="81" t="s">
        <v>0</v>
      </c>
      <c r="D4" s="81" t="s">
        <v>4</v>
      </c>
      <c r="E4" s="88">
        <f>Table8101213[[#This Row],[Euro - Amount]]*$E$2</f>
        <v>680400</v>
      </c>
      <c r="F4" s="100">
        <v>630000</v>
      </c>
      <c r="G4" s="99">
        <f>Table8101213[[#This Row],[Total US$ ]]*$G$1</f>
        <v>11600820</v>
      </c>
      <c r="H4" s="85" t="s">
        <v>140</v>
      </c>
      <c r="I4" s="96" t="s">
        <v>554</v>
      </c>
      <c r="J4" s="109" t="s">
        <v>338</v>
      </c>
      <c r="K4" s="82" t="s">
        <v>456</v>
      </c>
      <c r="L4" s="111">
        <v>44562</v>
      </c>
      <c r="M4" s="111">
        <v>45291</v>
      </c>
    </row>
    <row r="5" spans="1:13" ht="80" x14ac:dyDescent="0.2">
      <c r="A5" s="85" t="s">
        <v>248</v>
      </c>
      <c r="B5" s="85" t="s">
        <v>125</v>
      </c>
      <c r="C5" s="81" t="s">
        <v>0</v>
      </c>
      <c r="D5" s="82" t="s">
        <v>13</v>
      </c>
      <c r="E5" s="88">
        <f>Table8101213[[#This Row],[Euro - Amount]]*$E$2</f>
        <v>297000</v>
      </c>
      <c r="F5" s="100">
        <v>275000</v>
      </c>
      <c r="G5" s="99">
        <f>Table8101213[[#This Row],[Total US$ ]]*$G$1</f>
        <v>5063850</v>
      </c>
      <c r="H5" s="85" t="s">
        <v>140</v>
      </c>
      <c r="I5" s="83" t="s">
        <v>555</v>
      </c>
      <c r="J5" s="109" t="s">
        <v>338</v>
      </c>
      <c r="K5" s="82" t="s">
        <v>457</v>
      </c>
      <c r="L5" s="111">
        <v>44562</v>
      </c>
      <c r="M5" s="111">
        <v>45657</v>
      </c>
    </row>
    <row r="6" spans="1:13" ht="80" x14ac:dyDescent="0.2">
      <c r="A6" s="85" t="s">
        <v>249</v>
      </c>
      <c r="B6" s="85" t="s">
        <v>129</v>
      </c>
      <c r="C6" s="81" t="s">
        <v>17</v>
      </c>
      <c r="D6" s="83" t="s">
        <v>93</v>
      </c>
      <c r="E6" s="88">
        <f>Table8101213[[#This Row],[Euro - Amount]]*$E$2</f>
        <v>540000</v>
      </c>
      <c r="F6" s="100">
        <v>500000</v>
      </c>
      <c r="G6" s="99">
        <f>Table8101213[[#This Row],[Total US$ ]]*$G$1</f>
        <v>9207000</v>
      </c>
      <c r="H6" s="85" t="s">
        <v>140</v>
      </c>
      <c r="I6" s="83" t="s">
        <v>556</v>
      </c>
      <c r="J6" s="109" t="s">
        <v>328</v>
      </c>
      <c r="K6" s="82" t="s">
        <v>458</v>
      </c>
      <c r="L6" s="111">
        <v>44501</v>
      </c>
      <c r="M6" s="111">
        <v>45657</v>
      </c>
    </row>
    <row r="7" spans="1:13" ht="32" x14ac:dyDescent="0.2">
      <c r="A7" s="85" t="s">
        <v>250</v>
      </c>
      <c r="B7" s="85" t="s">
        <v>129</v>
      </c>
      <c r="C7" s="81" t="s">
        <v>17</v>
      </c>
      <c r="D7" s="81" t="s">
        <v>18</v>
      </c>
      <c r="E7" s="88">
        <f>Table8101213[[#This Row],[Euro - Amount]]*$E$2</f>
        <v>216000</v>
      </c>
      <c r="F7" s="100">
        <v>200000</v>
      </c>
      <c r="G7" s="99">
        <f>Table8101213[[#This Row],[Total US$ ]]*$G$1</f>
        <v>3682800</v>
      </c>
      <c r="H7" s="85" t="s">
        <v>140</v>
      </c>
      <c r="I7" s="83" t="s">
        <v>557</v>
      </c>
      <c r="J7" s="109" t="s">
        <v>328</v>
      </c>
      <c r="K7" s="81" t="s">
        <v>459</v>
      </c>
      <c r="L7" s="111">
        <v>44562</v>
      </c>
      <c r="M7" s="111">
        <v>45291</v>
      </c>
    </row>
    <row r="8" spans="1:13" ht="96" x14ac:dyDescent="0.2">
      <c r="A8" s="85" t="s">
        <v>251</v>
      </c>
      <c r="B8" s="85" t="s">
        <v>129</v>
      </c>
      <c r="C8" s="81" t="s">
        <v>157</v>
      </c>
      <c r="D8" s="82" t="s">
        <v>158</v>
      </c>
      <c r="E8" s="88">
        <f>Table8101213[[#This Row],[Euro - Amount]]*$E$2</f>
        <v>385560</v>
      </c>
      <c r="F8" s="100">
        <v>357000</v>
      </c>
      <c r="G8" s="99">
        <f>Table8101213[[#This Row],[Total US$ ]]*$G$1</f>
        <v>6573798</v>
      </c>
      <c r="H8" s="85" t="s">
        <v>140</v>
      </c>
      <c r="I8" s="83" t="s">
        <v>558</v>
      </c>
      <c r="J8" s="109" t="s">
        <v>327</v>
      </c>
      <c r="K8" s="82" t="s">
        <v>460</v>
      </c>
      <c r="L8" s="112">
        <v>45078</v>
      </c>
      <c r="M8" s="111">
        <v>45657</v>
      </c>
    </row>
    <row r="9" spans="1:13" ht="48" x14ac:dyDescent="0.2">
      <c r="A9" s="85" t="s">
        <v>252</v>
      </c>
      <c r="B9" s="85" t="s">
        <v>129</v>
      </c>
      <c r="C9" s="81" t="s">
        <v>26</v>
      </c>
      <c r="D9" s="81" t="s">
        <v>166</v>
      </c>
      <c r="E9" s="88">
        <f>Table8101213[[#This Row],[Euro - Amount]]*$E$2</f>
        <v>32400.000000000004</v>
      </c>
      <c r="F9" s="100">
        <v>30000</v>
      </c>
      <c r="G9" s="99">
        <f>Table8101213[[#This Row],[Total US$ ]]*$G$1</f>
        <v>552420.00000000012</v>
      </c>
      <c r="H9" s="85" t="s">
        <v>140</v>
      </c>
      <c r="I9" s="83" t="s">
        <v>559</v>
      </c>
      <c r="J9" s="109" t="s">
        <v>329</v>
      </c>
      <c r="K9" s="82" t="s">
        <v>461</v>
      </c>
      <c r="L9" s="111">
        <v>44562</v>
      </c>
      <c r="M9" s="111">
        <v>44926</v>
      </c>
    </row>
    <row r="10" spans="1:13" ht="144" x14ac:dyDescent="0.2">
      <c r="A10" s="85" t="s">
        <v>253</v>
      </c>
      <c r="B10" s="85" t="s">
        <v>125</v>
      </c>
      <c r="C10" s="82" t="s">
        <v>61</v>
      </c>
      <c r="D10" s="82" t="s">
        <v>62</v>
      </c>
      <c r="E10" s="88">
        <f>Table8101213[[#This Row],[Euro - Amount]]*$E$2</f>
        <v>16200.000000000002</v>
      </c>
      <c r="F10" s="100">
        <v>15000</v>
      </c>
      <c r="G10" s="99">
        <f>Table8101213[[#This Row],[Total US$ ]]*$G$1</f>
        <v>276210.00000000006</v>
      </c>
      <c r="H10" s="85" t="s">
        <v>140</v>
      </c>
      <c r="I10" s="83" t="s">
        <v>62</v>
      </c>
      <c r="J10" s="109" t="s">
        <v>329</v>
      </c>
      <c r="K10" s="82" t="s">
        <v>462</v>
      </c>
      <c r="L10" s="111">
        <v>44501</v>
      </c>
      <c r="M10" s="111">
        <v>44560</v>
      </c>
    </row>
    <row r="11" spans="1:13" ht="240" x14ac:dyDescent="0.2">
      <c r="A11" s="85" t="s">
        <v>254</v>
      </c>
      <c r="B11" s="82" t="s">
        <v>129</v>
      </c>
      <c r="C11" s="81" t="s">
        <v>358</v>
      </c>
      <c r="D11" s="81" t="s">
        <v>363</v>
      </c>
      <c r="E11" s="88">
        <f>Table8101213[[#This Row],[Euro - Amount]]*$E$2</f>
        <v>16200.000000000002</v>
      </c>
      <c r="F11" s="100">
        <v>15000</v>
      </c>
      <c r="G11" s="99">
        <f>Table8101213[[#This Row],[Total US$ ]]*$G$1</f>
        <v>276210.00000000006</v>
      </c>
      <c r="H11" s="85" t="s">
        <v>140</v>
      </c>
      <c r="I11" s="83" t="s">
        <v>363</v>
      </c>
      <c r="J11" s="109" t="s">
        <v>329</v>
      </c>
      <c r="K11" s="82" t="s">
        <v>463</v>
      </c>
      <c r="L11" s="111">
        <v>44501</v>
      </c>
      <c r="M11" s="111">
        <v>44926</v>
      </c>
    </row>
    <row r="12" spans="1:13" s="65" customFormat="1" ht="224" x14ac:dyDescent="0.2">
      <c r="A12" s="85" t="s">
        <v>353</v>
      </c>
      <c r="B12" s="82" t="s">
        <v>129</v>
      </c>
      <c r="C12" s="81" t="s">
        <v>359</v>
      </c>
      <c r="D12" s="81" t="s">
        <v>364</v>
      </c>
      <c r="E12" s="88">
        <f>Table8101213[[#This Row],[Euro - Amount]]*$E$2</f>
        <v>129600.00000000001</v>
      </c>
      <c r="F12" s="100">
        <v>120000</v>
      </c>
      <c r="G12" s="99">
        <f>Table8101213[[#This Row],[Total US$ ]]*$G$1</f>
        <v>2209680.0000000005</v>
      </c>
      <c r="H12" s="85" t="s">
        <v>140</v>
      </c>
      <c r="I12" s="83" t="s">
        <v>560</v>
      </c>
      <c r="J12" s="109" t="s">
        <v>329</v>
      </c>
      <c r="K12" s="82" t="s">
        <v>464</v>
      </c>
      <c r="L12" s="111">
        <v>44501</v>
      </c>
      <c r="M12" s="111">
        <v>44926</v>
      </c>
    </row>
    <row r="13" spans="1:13" s="65" customFormat="1" ht="128" x14ac:dyDescent="0.2">
      <c r="A13" s="85" t="s">
        <v>354</v>
      </c>
      <c r="B13" s="82" t="s">
        <v>129</v>
      </c>
      <c r="C13" s="81" t="s">
        <v>402</v>
      </c>
      <c r="D13" s="81" t="s">
        <v>365</v>
      </c>
      <c r="E13" s="88">
        <f>Table8101213[[#This Row],[Euro - Amount]]*$E$2</f>
        <v>21600</v>
      </c>
      <c r="F13" s="100">
        <v>20000</v>
      </c>
      <c r="G13" s="99">
        <f>Table8101213[[#This Row],[Total US$ ]]*$G$1</f>
        <v>368280</v>
      </c>
      <c r="H13" s="85" t="s">
        <v>140</v>
      </c>
      <c r="I13" s="83" t="s">
        <v>561</v>
      </c>
      <c r="J13" s="109" t="s">
        <v>329</v>
      </c>
      <c r="K13" s="82" t="s">
        <v>465</v>
      </c>
      <c r="L13" s="111">
        <v>44562</v>
      </c>
      <c r="M13" s="111">
        <v>45291</v>
      </c>
    </row>
    <row r="14" spans="1:13" ht="240" x14ac:dyDescent="0.2">
      <c r="A14" s="85" t="s">
        <v>355</v>
      </c>
      <c r="B14" s="85" t="s">
        <v>128</v>
      </c>
      <c r="C14" s="81" t="s">
        <v>360</v>
      </c>
      <c r="D14" s="81" t="s">
        <v>366</v>
      </c>
      <c r="E14" s="88">
        <f>Table8101213[[#This Row],[Euro - Amount]]*$E$2</f>
        <v>378000</v>
      </c>
      <c r="F14" s="100">
        <v>350000</v>
      </c>
      <c r="G14" s="99">
        <f>Table8101213[[#This Row],[Total US$ ]]*$G$1</f>
        <v>6444900</v>
      </c>
      <c r="H14" s="85" t="s">
        <v>140</v>
      </c>
      <c r="I14" s="83" t="s">
        <v>562</v>
      </c>
      <c r="J14" s="109" t="s">
        <v>338</v>
      </c>
      <c r="K14" s="82" t="s">
        <v>466</v>
      </c>
      <c r="L14" s="111">
        <v>44927</v>
      </c>
      <c r="M14" s="111">
        <v>46387</v>
      </c>
    </row>
    <row r="15" spans="1:13" ht="144" x14ac:dyDescent="0.2">
      <c r="A15" s="85" t="s">
        <v>356</v>
      </c>
      <c r="B15" s="85" t="s">
        <v>128</v>
      </c>
      <c r="C15" s="81" t="s">
        <v>361</v>
      </c>
      <c r="D15" s="81" t="s">
        <v>367</v>
      </c>
      <c r="E15" s="88">
        <f>Table8101213[[#This Row],[Euro - Amount]]*$E$2</f>
        <v>237060.00000000003</v>
      </c>
      <c r="F15" s="100">
        <v>219500</v>
      </c>
      <c r="G15" s="99">
        <f>Table8101213[[#This Row],[Total US$ ]]*$G$1</f>
        <v>4041873.0000000005</v>
      </c>
      <c r="H15" s="85" t="s">
        <v>140</v>
      </c>
      <c r="I15" s="83" t="s">
        <v>563</v>
      </c>
      <c r="J15" s="109" t="s">
        <v>338</v>
      </c>
      <c r="K15" s="82" t="s">
        <v>467</v>
      </c>
      <c r="L15" s="111">
        <v>44927</v>
      </c>
      <c r="M15" s="111">
        <v>46387</v>
      </c>
    </row>
    <row r="16" spans="1:13" ht="112" x14ac:dyDescent="0.2">
      <c r="A16" s="85" t="s">
        <v>357</v>
      </c>
      <c r="B16" s="85" t="s">
        <v>128</v>
      </c>
      <c r="C16" s="81" t="s">
        <v>362</v>
      </c>
      <c r="D16" s="81" t="s">
        <v>368</v>
      </c>
      <c r="E16" s="88">
        <f>Table8101213[[#This Row],[Euro - Amount]]*$E$2</f>
        <v>226800.00000000003</v>
      </c>
      <c r="F16" s="100">
        <v>210000</v>
      </c>
      <c r="G16" s="99">
        <f>Table8101213[[#This Row],[Total US$ ]]*$G$1</f>
        <v>3866940.0000000005</v>
      </c>
      <c r="H16" s="85" t="s">
        <v>140</v>
      </c>
      <c r="I16" s="83" t="s">
        <v>564</v>
      </c>
      <c r="J16" s="109" t="s">
        <v>327</v>
      </c>
      <c r="K16" s="82" t="s">
        <v>468</v>
      </c>
      <c r="L16" s="111">
        <v>44927</v>
      </c>
      <c r="M16" s="111">
        <v>45657</v>
      </c>
    </row>
    <row r="17" spans="1:13" x14ac:dyDescent="0.2">
      <c r="A17" s="2"/>
      <c r="B17" s="2"/>
      <c r="C17" s="14"/>
      <c r="D17" s="14"/>
      <c r="E17" s="78">
        <f>SUBTOTAL(109,Table8101213[Total US$ ])</f>
        <v>3176820</v>
      </c>
      <c r="F17" s="72">
        <f>SUBTOTAL(109,Table8101213[Euro - Amount])</f>
        <v>2941500</v>
      </c>
      <c r="G17" s="80">
        <f>SUBTOTAL(109,Table8101213[Total ZAR])</f>
        <v>54164781</v>
      </c>
      <c r="H17" s="6"/>
      <c r="I17" s="56"/>
      <c r="J17" s="58"/>
      <c r="K17" s="28"/>
      <c r="L17" s="57"/>
      <c r="M17" s="57"/>
    </row>
    <row r="18" spans="1:13" x14ac:dyDescent="0.2">
      <c r="A18" s="35"/>
      <c r="B18" s="26"/>
      <c r="C18" s="13"/>
      <c r="D18" s="13"/>
      <c r="E18" s="29"/>
      <c r="F18" s="29"/>
      <c r="G18" s="31"/>
      <c r="H18" s="6"/>
      <c r="I18" s="7"/>
      <c r="J18" s="27"/>
      <c r="K18" s="7"/>
      <c r="L18" s="15"/>
      <c r="M18" s="15"/>
    </row>
    <row r="19" spans="1:13" ht="26" customHeight="1" x14ac:dyDescent="0.2">
      <c r="A19" s="125" t="s">
        <v>589</v>
      </c>
      <c r="B19" s="125"/>
      <c r="C19" s="125"/>
      <c r="D19" s="125"/>
      <c r="E19" s="125"/>
      <c r="F19" s="125"/>
      <c r="G19" s="125"/>
      <c r="H19" s="125"/>
      <c r="I19" s="125"/>
      <c r="J19" s="125"/>
      <c r="K19" s="125"/>
      <c r="L19" s="125"/>
      <c r="M19" s="125"/>
    </row>
    <row r="20" spans="1:13" x14ac:dyDescent="0.2">
      <c r="B20" s="1"/>
      <c r="F20" s="1"/>
      <c r="G20" s="1"/>
      <c r="H20" s="8"/>
      <c r="I20" s="1"/>
      <c r="J20" s="3"/>
      <c r="L20" s="18"/>
      <c r="M20" s="15"/>
    </row>
    <row r="21" spans="1:13" ht="15" customHeight="1" x14ac:dyDescent="0.2">
      <c r="A21" s="125" t="s">
        <v>590</v>
      </c>
      <c r="B21" s="125"/>
      <c r="C21" s="125"/>
      <c r="D21" s="125"/>
      <c r="E21" s="125"/>
      <c r="F21" s="125"/>
      <c r="G21" s="125"/>
      <c r="H21" s="125"/>
      <c r="I21" s="125"/>
      <c r="J21" s="125"/>
      <c r="K21" s="125"/>
      <c r="L21" s="15"/>
      <c r="M21" s="15"/>
    </row>
    <row r="22" spans="1:13" x14ac:dyDescent="0.2">
      <c r="A22" s="35"/>
      <c r="B22" s="39"/>
      <c r="C22" s="39"/>
      <c r="D22" s="40"/>
      <c r="E22" s="47"/>
      <c r="F22" s="47"/>
      <c r="G22" s="31"/>
      <c r="H22" s="5"/>
      <c r="I22" s="41"/>
      <c r="J22" s="43"/>
      <c r="K22" s="41"/>
      <c r="L22" s="48"/>
      <c r="M22" s="48"/>
    </row>
    <row r="23" spans="1:13" x14ac:dyDescent="0.2">
      <c r="A23" s="35"/>
      <c r="B23" s="35"/>
      <c r="C23" s="6"/>
      <c r="D23" s="33"/>
      <c r="E23" s="49"/>
      <c r="F23" s="49"/>
      <c r="G23" s="31"/>
      <c r="H23" s="5"/>
      <c r="I23" s="36"/>
      <c r="J23" s="27"/>
      <c r="K23" s="36"/>
      <c r="L23" s="38"/>
      <c r="M23" s="38"/>
    </row>
    <row r="24" spans="1:13" x14ac:dyDescent="0.2">
      <c r="A24" s="35"/>
      <c r="B24" s="39"/>
      <c r="C24" s="5"/>
      <c r="D24" s="40"/>
      <c r="E24" s="47"/>
      <c r="F24" s="47"/>
      <c r="G24" s="31"/>
      <c r="H24" s="5"/>
      <c r="I24" s="41"/>
      <c r="J24" s="43"/>
      <c r="K24" s="41"/>
      <c r="L24" s="48"/>
      <c r="M24" s="48"/>
    </row>
    <row r="25" spans="1:13" x14ac:dyDescent="0.2">
      <c r="A25" s="35"/>
      <c r="B25" s="39"/>
      <c r="C25" s="40"/>
      <c r="D25" s="40"/>
      <c r="E25" s="47"/>
      <c r="F25" s="47"/>
      <c r="G25" s="31"/>
      <c r="H25" s="5"/>
      <c r="I25" s="41"/>
      <c r="J25" s="43"/>
      <c r="K25" s="41"/>
      <c r="L25" s="48"/>
      <c r="M25" s="48"/>
    </row>
    <row r="26" spans="1:13" x14ac:dyDescent="0.2">
      <c r="A26" s="35"/>
      <c r="B26" s="35"/>
      <c r="C26" s="33"/>
      <c r="D26" s="33"/>
      <c r="E26" s="49"/>
      <c r="F26" s="49"/>
      <c r="G26" s="31"/>
      <c r="H26" s="6"/>
      <c r="I26" s="36"/>
      <c r="J26" s="27"/>
      <c r="K26" s="36"/>
      <c r="L26" s="38"/>
      <c r="M26" s="38"/>
    </row>
    <row r="27" spans="1:13" x14ac:dyDescent="0.2">
      <c r="A27" s="35"/>
      <c r="B27" s="39"/>
      <c r="C27" s="40"/>
      <c r="D27" s="40"/>
      <c r="E27" s="39"/>
      <c r="F27" s="39"/>
      <c r="G27" s="31"/>
      <c r="H27" s="5"/>
      <c r="I27" s="41"/>
      <c r="J27" s="43"/>
      <c r="K27" s="41"/>
      <c r="L27" s="48"/>
      <c r="M27" s="48"/>
    </row>
    <row r="28" spans="1:13" x14ac:dyDescent="0.2">
      <c r="A28" s="35"/>
      <c r="B28" s="39"/>
      <c r="C28" s="40"/>
      <c r="D28" s="40"/>
      <c r="E28" s="39"/>
      <c r="F28" s="39"/>
      <c r="G28" s="31"/>
      <c r="H28" s="5"/>
      <c r="I28" s="41"/>
      <c r="J28" s="43"/>
      <c r="K28" s="41"/>
      <c r="L28" s="48"/>
      <c r="M28" s="48"/>
    </row>
    <row r="29" spans="1:13" x14ac:dyDescent="0.2">
      <c r="A29" s="35"/>
      <c r="B29" s="35"/>
      <c r="C29" s="40"/>
      <c r="D29" s="33"/>
      <c r="E29" s="49"/>
      <c r="F29" s="49"/>
      <c r="G29" s="31"/>
      <c r="H29" s="6"/>
      <c r="I29" s="36"/>
      <c r="J29" s="27"/>
      <c r="K29" s="36"/>
      <c r="L29" s="38"/>
      <c r="M29" s="38"/>
    </row>
    <row r="30" spans="1:13" x14ac:dyDescent="0.2">
      <c r="A30" s="35"/>
      <c r="B30" s="35"/>
      <c r="C30" s="33"/>
      <c r="D30" s="33"/>
      <c r="E30" s="49"/>
      <c r="F30" s="49"/>
      <c r="G30" s="31"/>
      <c r="H30" s="6"/>
      <c r="I30" s="36"/>
      <c r="J30" s="27"/>
      <c r="K30" s="36"/>
      <c r="L30" s="38"/>
      <c r="M30" s="38"/>
    </row>
    <row r="31" spans="1:13" x14ac:dyDescent="0.2">
      <c r="A31" s="35"/>
      <c r="B31" s="39"/>
      <c r="C31" s="40"/>
      <c r="D31" s="40"/>
      <c r="E31" s="39"/>
      <c r="F31" s="39"/>
      <c r="G31" s="31"/>
      <c r="H31" s="6"/>
      <c r="I31" s="41"/>
      <c r="J31" s="42"/>
      <c r="K31" s="41"/>
      <c r="L31" s="48"/>
      <c r="M31" s="48"/>
    </row>
    <row r="32" spans="1:13" x14ac:dyDescent="0.2">
      <c r="A32" s="35"/>
      <c r="B32" s="35"/>
      <c r="C32" s="33"/>
      <c r="D32" s="33"/>
      <c r="E32" s="49"/>
      <c r="F32" s="49"/>
      <c r="G32" s="31"/>
      <c r="H32" s="6"/>
      <c r="I32" s="36"/>
      <c r="J32" s="27"/>
      <c r="K32" s="36"/>
      <c r="L32" s="38"/>
      <c r="M32" s="38"/>
    </row>
    <row r="33" spans="1:13" x14ac:dyDescent="0.2">
      <c r="A33" s="35"/>
      <c r="B33" s="6"/>
      <c r="C33" s="19"/>
      <c r="D33" s="14"/>
      <c r="E33" s="32"/>
      <c r="F33" s="32"/>
      <c r="G33" s="31"/>
      <c r="H33" s="6"/>
      <c r="I33" s="21"/>
      <c r="J33" s="59"/>
      <c r="K33" s="19"/>
      <c r="L33" s="22"/>
      <c r="M33" s="22"/>
    </row>
    <row r="34" spans="1:13" x14ac:dyDescent="0.2">
      <c r="A34" s="35"/>
      <c r="B34" s="6"/>
      <c r="C34" s="19"/>
      <c r="D34" s="14"/>
      <c r="E34" s="32"/>
      <c r="F34" s="32"/>
      <c r="G34" s="31"/>
      <c r="H34" s="6"/>
      <c r="I34" s="21"/>
      <c r="J34" s="59"/>
      <c r="K34" s="19"/>
      <c r="L34" s="22"/>
      <c r="M34" s="22"/>
    </row>
    <row r="35" spans="1:13" x14ac:dyDescent="0.2">
      <c r="A35" s="35"/>
      <c r="B35" s="6"/>
      <c r="C35" s="19"/>
      <c r="D35" s="14"/>
      <c r="E35" s="32"/>
      <c r="F35" s="32"/>
      <c r="G35" s="31"/>
      <c r="H35" s="6"/>
      <c r="I35" s="21"/>
      <c r="J35" s="59"/>
      <c r="K35" s="19"/>
      <c r="L35" s="22"/>
      <c r="M35" s="22"/>
    </row>
    <row r="36" spans="1:13" x14ac:dyDescent="0.2">
      <c r="A36" s="35"/>
      <c r="B36" s="6"/>
      <c r="C36" s="19"/>
      <c r="D36" s="14"/>
      <c r="E36" s="32"/>
      <c r="F36" s="32"/>
      <c r="G36" s="31"/>
      <c r="H36" s="6"/>
      <c r="I36" s="21"/>
      <c r="J36" s="59"/>
      <c r="K36" s="19"/>
      <c r="L36" s="22"/>
      <c r="M36" s="22"/>
    </row>
    <row r="37" spans="1:13" x14ac:dyDescent="0.2">
      <c r="A37" s="35"/>
      <c r="B37" s="6"/>
      <c r="C37" s="19"/>
      <c r="D37" s="14"/>
      <c r="E37" s="32"/>
      <c r="F37" s="32"/>
      <c r="G37" s="31"/>
      <c r="H37" s="6"/>
      <c r="I37" s="21"/>
      <c r="J37" s="59"/>
      <c r="K37" s="19"/>
      <c r="L37" s="22"/>
      <c r="M37" s="22"/>
    </row>
    <row r="38" spans="1:13" x14ac:dyDescent="0.2">
      <c r="A38" s="35"/>
      <c r="B38" s="6"/>
      <c r="C38" s="19"/>
      <c r="D38" s="14"/>
      <c r="E38" s="32"/>
      <c r="F38" s="32"/>
      <c r="G38" s="31"/>
      <c r="H38" s="6"/>
      <c r="I38" s="21"/>
      <c r="J38" s="59"/>
      <c r="K38" s="19"/>
      <c r="L38" s="22"/>
      <c r="M38" s="22"/>
    </row>
    <row r="39" spans="1:13" x14ac:dyDescent="0.2">
      <c r="A39" s="35"/>
      <c r="B39" s="6"/>
      <c r="C39" s="19"/>
      <c r="D39" s="14"/>
      <c r="E39" s="32"/>
      <c r="F39" s="32"/>
      <c r="G39" s="31"/>
      <c r="H39" s="6"/>
      <c r="I39" s="21"/>
      <c r="J39" s="59"/>
      <c r="K39" s="19"/>
      <c r="L39" s="22"/>
      <c r="M39" s="22"/>
    </row>
    <row r="40" spans="1:13" x14ac:dyDescent="0.2">
      <c r="A40" s="35"/>
      <c r="B40" s="6"/>
      <c r="C40" s="19"/>
      <c r="D40" s="14"/>
      <c r="E40" s="32"/>
      <c r="F40" s="32"/>
      <c r="G40" s="31"/>
      <c r="H40" s="6"/>
      <c r="I40" s="21"/>
      <c r="J40" s="59"/>
      <c r="K40" s="19"/>
      <c r="L40" s="22"/>
      <c r="M40" s="22"/>
    </row>
    <row r="41" spans="1:13" x14ac:dyDescent="0.2">
      <c r="A41" s="35"/>
      <c r="B41" s="6"/>
      <c r="C41" s="19"/>
      <c r="D41" s="14"/>
      <c r="E41" s="32"/>
      <c r="F41" s="32"/>
      <c r="G41" s="31"/>
      <c r="H41" s="6"/>
      <c r="I41" s="21"/>
      <c r="J41" s="59"/>
      <c r="K41" s="19"/>
      <c r="L41" s="22"/>
      <c r="M41" s="22"/>
    </row>
    <row r="42" spans="1:13" x14ac:dyDescent="0.2">
      <c r="A42" s="35"/>
      <c r="B42" s="6"/>
      <c r="C42" s="19"/>
      <c r="D42" s="14"/>
      <c r="E42" s="32"/>
      <c r="F42" s="32"/>
      <c r="G42" s="31"/>
      <c r="H42" s="6"/>
      <c r="I42" s="21"/>
      <c r="J42" s="59"/>
      <c r="K42" s="19"/>
      <c r="L42" s="22"/>
      <c r="M42" s="22"/>
    </row>
    <row r="43" spans="1:13" x14ac:dyDescent="0.2">
      <c r="A43" s="35"/>
      <c r="B43" s="6"/>
      <c r="C43" s="19"/>
      <c r="D43" s="14"/>
      <c r="E43" s="32"/>
      <c r="F43" s="32"/>
      <c r="G43" s="31"/>
      <c r="H43" s="6"/>
      <c r="I43" s="21"/>
      <c r="J43" s="59"/>
      <c r="K43" s="19"/>
      <c r="L43" s="22"/>
      <c r="M43" s="22"/>
    </row>
    <row r="44" spans="1:13" x14ac:dyDescent="0.2">
      <c r="A44" s="35"/>
      <c r="B44" s="6"/>
      <c r="C44" s="19"/>
      <c r="D44" s="14"/>
      <c r="E44" s="32"/>
      <c r="F44" s="32"/>
      <c r="G44" s="31"/>
      <c r="H44" s="6"/>
      <c r="I44" s="21"/>
      <c r="J44" s="59"/>
      <c r="K44" s="19"/>
      <c r="L44" s="22"/>
      <c r="M44" s="22"/>
    </row>
    <row r="45" spans="1:13" x14ac:dyDescent="0.2">
      <c r="A45" s="35"/>
      <c r="B45" s="6"/>
      <c r="C45" s="19"/>
      <c r="D45" s="14"/>
      <c r="E45" s="32"/>
      <c r="F45" s="32"/>
      <c r="G45" s="31"/>
      <c r="H45" s="6"/>
      <c r="I45" s="21"/>
      <c r="J45" s="59"/>
      <c r="K45" s="19"/>
      <c r="L45" s="22"/>
      <c r="M45" s="22"/>
    </row>
    <row r="46" spans="1:13" x14ac:dyDescent="0.2">
      <c r="A46" s="35"/>
      <c r="B46" s="6"/>
      <c r="C46" s="19"/>
      <c r="D46" s="14"/>
      <c r="E46" s="32"/>
      <c r="F46" s="32"/>
      <c r="G46" s="31"/>
      <c r="H46" s="6"/>
      <c r="I46" s="21"/>
      <c r="J46" s="59"/>
      <c r="K46" s="19"/>
      <c r="L46" s="22"/>
      <c r="M46" s="22"/>
    </row>
    <row r="47" spans="1:13" x14ac:dyDescent="0.2">
      <c r="A47" s="35"/>
      <c r="B47" s="6"/>
      <c r="C47" s="19"/>
      <c r="D47" s="14"/>
      <c r="E47" s="32"/>
      <c r="F47" s="32"/>
      <c r="G47" s="31"/>
      <c r="H47" s="6"/>
      <c r="I47" s="21"/>
      <c r="J47" s="59"/>
      <c r="K47" s="19"/>
      <c r="L47" s="22"/>
      <c r="M47" s="22"/>
    </row>
    <row r="48" spans="1:13" x14ac:dyDescent="0.2">
      <c r="A48" s="35"/>
      <c r="B48" s="6"/>
      <c r="C48" s="19"/>
      <c r="D48" s="14"/>
      <c r="E48" s="32"/>
      <c r="F48" s="32"/>
      <c r="G48" s="31"/>
      <c r="H48" s="6"/>
      <c r="I48" s="21"/>
      <c r="J48" s="59"/>
      <c r="K48" s="19"/>
      <c r="L48" s="22"/>
      <c r="M48" s="22"/>
    </row>
    <row r="49" spans="1:13" x14ac:dyDescent="0.2">
      <c r="A49" s="35"/>
      <c r="B49" s="6"/>
      <c r="C49" s="19"/>
      <c r="D49" s="14"/>
      <c r="E49" s="32"/>
      <c r="F49" s="32"/>
      <c r="G49" s="31"/>
      <c r="H49" s="6"/>
      <c r="I49" s="21"/>
      <c r="J49" s="59"/>
      <c r="K49" s="19"/>
      <c r="L49" s="22"/>
      <c r="M49" s="22"/>
    </row>
    <row r="50" spans="1:13" x14ac:dyDescent="0.2">
      <c r="A50" s="35"/>
      <c r="B50" s="6"/>
      <c r="C50" s="19"/>
      <c r="D50" s="14"/>
      <c r="E50" s="32"/>
      <c r="F50" s="32"/>
      <c r="G50" s="31"/>
      <c r="H50" s="6"/>
      <c r="I50" s="21"/>
      <c r="J50" s="59"/>
      <c r="K50" s="19"/>
      <c r="L50" s="22"/>
      <c r="M50" s="22"/>
    </row>
    <row r="51" spans="1:13" x14ac:dyDescent="0.2">
      <c r="A51" s="35"/>
      <c r="B51" s="6"/>
      <c r="C51" s="19"/>
      <c r="D51" s="14"/>
      <c r="E51" s="32"/>
      <c r="F51" s="32"/>
      <c r="G51" s="31"/>
      <c r="H51" s="6"/>
      <c r="I51" s="21"/>
      <c r="J51" s="59"/>
      <c r="K51" s="19"/>
      <c r="L51" s="22"/>
      <c r="M51" s="22"/>
    </row>
    <row r="52" spans="1:13" x14ac:dyDescent="0.2">
      <c r="A52" s="35"/>
      <c r="B52" s="6"/>
      <c r="C52" s="19"/>
      <c r="D52" s="14"/>
      <c r="E52" s="32"/>
      <c r="F52" s="32"/>
      <c r="G52" s="31"/>
      <c r="H52" s="6"/>
      <c r="I52" s="21"/>
      <c r="J52" s="59"/>
      <c r="K52" s="19"/>
      <c r="L52" s="22"/>
      <c r="M52" s="22"/>
    </row>
    <row r="53" spans="1:13" x14ac:dyDescent="0.2">
      <c r="A53" s="35"/>
      <c r="B53" s="6"/>
      <c r="C53" s="19"/>
      <c r="D53" s="14"/>
      <c r="E53" s="32"/>
      <c r="F53" s="32"/>
      <c r="G53" s="31"/>
      <c r="H53" s="6"/>
      <c r="I53" s="21"/>
      <c r="J53" s="59"/>
      <c r="K53" s="19"/>
      <c r="L53" s="22"/>
      <c r="M53" s="22"/>
    </row>
    <row r="54" spans="1:13" x14ac:dyDescent="0.2">
      <c r="A54" s="35"/>
      <c r="B54" s="6"/>
      <c r="C54" s="19"/>
      <c r="D54" s="14"/>
      <c r="E54" s="32"/>
      <c r="F54" s="32"/>
      <c r="G54" s="31"/>
      <c r="H54" s="6"/>
      <c r="I54" s="21"/>
      <c r="J54" s="59"/>
      <c r="K54" s="19"/>
      <c r="L54" s="22"/>
      <c r="M54" s="22"/>
    </row>
    <row r="55" spans="1:13" x14ac:dyDescent="0.2">
      <c r="A55" s="35"/>
      <c r="B55" s="6"/>
      <c r="C55" s="19"/>
      <c r="D55" s="14"/>
      <c r="E55" s="32"/>
      <c r="F55" s="32"/>
      <c r="G55" s="31"/>
      <c r="H55" s="6"/>
      <c r="I55" s="21"/>
      <c r="J55" s="59"/>
      <c r="K55" s="19"/>
      <c r="L55" s="22"/>
      <c r="M55" s="22"/>
    </row>
    <row r="56" spans="1:13" x14ac:dyDescent="0.2">
      <c r="A56" s="35"/>
      <c r="B56" s="6"/>
      <c r="C56" s="19"/>
      <c r="D56" s="14"/>
      <c r="E56" s="32"/>
      <c r="F56" s="32"/>
      <c r="G56" s="31"/>
      <c r="H56" s="6"/>
      <c r="I56" s="21"/>
      <c r="J56" s="59"/>
      <c r="K56" s="19"/>
      <c r="L56" s="22"/>
      <c r="M56" s="22"/>
    </row>
    <row r="57" spans="1:13" x14ac:dyDescent="0.2">
      <c r="A57" s="35"/>
      <c r="B57" s="6"/>
      <c r="C57" s="19"/>
      <c r="D57" s="14"/>
      <c r="E57" s="32"/>
      <c r="F57" s="32"/>
      <c r="G57" s="31"/>
      <c r="H57" s="6"/>
      <c r="I57" s="21"/>
      <c r="J57" s="59"/>
      <c r="K57" s="19"/>
      <c r="L57" s="22"/>
      <c r="M57" s="22"/>
    </row>
    <row r="58" spans="1:13" x14ac:dyDescent="0.2">
      <c r="A58" s="35"/>
      <c r="B58" s="6"/>
      <c r="C58" s="19"/>
      <c r="D58" s="14"/>
      <c r="E58" s="32"/>
      <c r="F58" s="32"/>
      <c r="G58" s="31"/>
      <c r="H58" s="6"/>
      <c r="I58" s="21"/>
      <c r="J58" s="59"/>
      <c r="K58" s="19"/>
      <c r="L58" s="22"/>
      <c r="M58" s="22"/>
    </row>
    <row r="59" spans="1:13" x14ac:dyDescent="0.2">
      <c r="A59" s="35"/>
      <c r="B59" s="6"/>
      <c r="C59" s="19"/>
      <c r="D59" s="14"/>
      <c r="E59" s="32"/>
      <c r="F59" s="32"/>
      <c r="G59" s="31"/>
      <c r="H59" s="6"/>
      <c r="I59" s="21"/>
      <c r="J59" s="59"/>
      <c r="K59" s="19"/>
      <c r="L59" s="22"/>
      <c r="M59" s="22"/>
    </row>
    <row r="60" spans="1:13" x14ac:dyDescent="0.2">
      <c r="A60" s="35"/>
      <c r="B60" s="6"/>
      <c r="C60" s="19"/>
      <c r="D60" s="14"/>
      <c r="E60" s="32"/>
      <c r="F60" s="32"/>
      <c r="G60" s="31"/>
      <c r="H60" s="6"/>
      <c r="I60" s="21"/>
      <c r="J60" s="59"/>
      <c r="K60" s="19"/>
      <c r="L60" s="22"/>
      <c r="M60" s="22"/>
    </row>
    <row r="61" spans="1:13" x14ac:dyDescent="0.2">
      <c r="A61" s="35"/>
      <c r="B61" s="6"/>
      <c r="C61" s="19"/>
      <c r="D61" s="14"/>
      <c r="E61" s="32"/>
      <c r="F61" s="32"/>
      <c r="G61" s="31"/>
      <c r="H61" s="6"/>
      <c r="I61" s="21"/>
      <c r="J61" s="59"/>
      <c r="K61" s="19"/>
      <c r="L61" s="22"/>
      <c r="M61" s="22"/>
    </row>
    <row r="62" spans="1:13" x14ac:dyDescent="0.2">
      <c r="A62" s="35"/>
      <c r="B62" s="6"/>
      <c r="C62" s="19"/>
      <c r="D62" s="14"/>
      <c r="E62" s="32"/>
      <c r="F62" s="32"/>
      <c r="G62" s="31"/>
      <c r="H62" s="6"/>
      <c r="I62" s="21"/>
      <c r="J62" s="59"/>
      <c r="K62" s="19"/>
      <c r="L62" s="22"/>
      <c r="M62" s="22"/>
    </row>
    <row r="63" spans="1:13" x14ac:dyDescent="0.2">
      <c r="A63" s="35"/>
      <c r="B63" s="6"/>
      <c r="C63" s="19"/>
      <c r="D63" s="14"/>
      <c r="E63" s="32"/>
      <c r="F63" s="32"/>
      <c r="G63" s="31"/>
      <c r="H63" s="6"/>
      <c r="I63" s="21"/>
      <c r="J63" s="59"/>
      <c r="K63" s="19"/>
      <c r="L63" s="22"/>
      <c r="M63" s="22"/>
    </row>
    <row r="64" spans="1:13" x14ac:dyDescent="0.2">
      <c r="A64" s="35"/>
      <c r="B64" s="6"/>
      <c r="C64" s="19"/>
      <c r="D64" s="14"/>
      <c r="E64" s="32"/>
      <c r="F64" s="32"/>
      <c r="G64" s="31"/>
      <c r="H64" s="6"/>
      <c r="I64" s="21"/>
      <c r="J64" s="59"/>
      <c r="K64" s="19"/>
      <c r="L64" s="22"/>
      <c r="M64" s="22"/>
    </row>
    <row r="65" spans="1:13" x14ac:dyDescent="0.2">
      <c r="A65" s="35"/>
      <c r="B65" s="6"/>
      <c r="C65" s="19"/>
      <c r="D65" s="14"/>
      <c r="E65" s="32"/>
      <c r="F65" s="32"/>
      <c r="G65" s="31"/>
      <c r="H65" s="6"/>
      <c r="I65" s="21"/>
      <c r="J65" s="59"/>
      <c r="K65" s="19"/>
      <c r="L65" s="22"/>
      <c r="M65" s="22"/>
    </row>
    <row r="66" spans="1:13" x14ac:dyDescent="0.2">
      <c r="A66" s="35"/>
      <c r="B66" s="6"/>
      <c r="C66" s="19"/>
      <c r="D66" s="14"/>
      <c r="E66" s="32"/>
      <c r="F66" s="32"/>
      <c r="G66" s="31"/>
      <c r="H66" s="6"/>
      <c r="I66" s="21"/>
      <c r="J66" s="59"/>
      <c r="K66" s="19"/>
      <c r="L66" s="22"/>
      <c r="M66" s="22"/>
    </row>
    <row r="67" spans="1:13" x14ac:dyDescent="0.2">
      <c r="A67" s="35"/>
      <c r="B67" s="6"/>
      <c r="C67" s="19"/>
      <c r="D67" s="14"/>
      <c r="E67" s="32"/>
      <c r="F67" s="32"/>
      <c r="G67" s="31"/>
      <c r="H67" s="6"/>
      <c r="I67" s="21"/>
      <c r="J67" s="59"/>
      <c r="K67" s="19"/>
      <c r="L67" s="22"/>
      <c r="M67" s="22"/>
    </row>
    <row r="68" spans="1:13" x14ac:dyDescent="0.2">
      <c r="A68" s="35"/>
      <c r="B68" s="6"/>
      <c r="C68" s="19"/>
      <c r="D68" s="14"/>
      <c r="E68" s="32"/>
      <c r="F68" s="32"/>
      <c r="G68" s="31"/>
      <c r="H68" s="6"/>
      <c r="I68" s="21"/>
      <c r="J68" s="59"/>
      <c r="K68" s="19"/>
      <c r="L68" s="22"/>
      <c r="M68" s="22"/>
    </row>
    <row r="69" spans="1:13" x14ac:dyDescent="0.2">
      <c r="A69" s="35"/>
      <c r="B69" s="6"/>
      <c r="C69" s="19"/>
      <c r="D69" s="14"/>
      <c r="E69" s="32"/>
      <c r="F69" s="32"/>
      <c r="G69" s="31"/>
      <c r="H69" s="6"/>
      <c r="I69" s="21"/>
      <c r="J69" s="59"/>
      <c r="K69" s="19"/>
      <c r="L69" s="22"/>
      <c r="M69" s="22"/>
    </row>
    <row r="70" spans="1:13" x14ac:dyDescent="0.2">
      <c r="A70" s="35"/>
      <c r="B70" s="6"/>
      <c r="C70" s="19"/>
      <c r="D70" s="14"/>
      <c r="E70" s="32"/>
      <c r="F70" s="32"/>
      <c r="G70" s="31"/>
      <c r="H70" s="6"/>
      <c r="I70" s="21"/>
      <c r="J70" s="59"/>
      <c r="K70" s="19"/>
      <c r="L70" s="22"/>
      <c r="M70" s="22"/>
    </row>
    <row r="71" spans="1:13" x14ac:dyDescent="0.2">
      <c r="A71" s="35"/>
      <c r="B71" s="6"/>
      <c r="C71" s="19"/>
      <c r="D71" s="14"/>
      <c r="E71" s="32"/>
      <c r="F71" s="32"/>
      <c r="G71" s="31"/>
      <c r="H71" s="6"/>
      <c r="I71" s="21"/>
      <c r="J71" s="59"/>
      <c r="K71" s="19"/>
      <c r="L71" s="22"/>
      <c r="M71" s="22"/>
    </row>
    <row r="72" spans="1:13" x14ac:dyDescent="0.2">
      <c r="A72" s="35"/>
      <c r="B72" s="6"/>
      <c r="C72" s="19"/>
      <c r="D72" s="14"/>
      <c r="E72" s="32"/>
      <c r="F72" s="32"/>
      <c r="G72" s="31"/>
      <c r="H72" s="6"/>
      <c r="I72" s="21"/>
      <c r="J72" s="59"/>
      <c r="K72" s="19"/>
      <c r="L72" s="22"/>
      <c r="M72" s="22"/>
    </row>
    <row r="73" spans="1:13" x14ac:dyDescent="0.2">
      <c r="A73" s="35"/>
      <c r="B73" s="6"/>
      <c r="C73" s="19"/>
      <c r="D73" s="14"/>
      <c r="E73" s="32"/>
      <c r="F73" s="32"/>
      <c r="G73" s="31"/>
      <c r="H73" s="6"/>
      <c r="I73" s="21"/>
      <c r="J73" s="59"/>
      <c r="K73" s="19"/>
      <c r="L73" s="22"/>
      <c r="M73" s="22"/>
    </row>
    <row r="74" spans="1:13" x14ac:dyDescent="0.2">
      <c r="A74" s="35"/>
      <c r="B74" s="6"/>
      <c r="C74" s="19"/>
      <c r="D74" s="14"/>
      <c r="E74" s="32"/>
      <c r="F74" s="32"/>
      <c r="G74" s="31"/>
      <c r="H74" s="6"/>
      <c r="I74" s="21"/>
      <c r="J74" s="59"/>
      <c r="K74" s="19"/>
      <c r="L74" s="22"/>
      <c r="M74" s="22"/>
    </row>
    <row r="75" spans="1:13" x14ac:dyDescent="0.2">
      <c r="A75" s="35"/>
      <c r="B75" s="6"/>
      <c r="C75" s="19"/>
      <c r="D75" s="14"/>
      <c r="E75" s="32"/>
      <c r="F75" s="32"/>
      <c r="G75" s="31"/>
      <c r="H75" s="6"/>
      <c r="I75" s="21"/>
      <c r="J75" s="59"/>
      <c r="K75" s="19"/>
      <c r="L75" s="22"/>
      <c r="M75" s="22"/>
    </row>
    <row r="76" spans="1:13" x14ac:dyDescent="0.2">
      <c r="A76" s="35"/>
      <c r="B76" s="6"/>
      <c r="C76" s="19"/>
      <c r="D76" s="14"/>
      <c r="E76" s="32"/>
      <c r="F76" s="32"/>
      <c r="G76" s="31"/>
      <c r="H76" s="6"/>
      <c r="I76" s="21"/>
      <c r="J76" s="59"/>
      <c r="K76" s="19"/>
      <c r="L76" s="22"/>
      <c r="M76" s="22"/>
    </row>
    <row r="77" spans="1:13" x14ac:dyDescent="0.2">
      <c r="A77" s="35"/>
      <c r="B77" s="6"/>
      <c r="C77" s="19"/>
      <c r="D77" s="14"/>
      <c r="E77" s="32"/>
      <c r="F77" s="32"/>
      <c r="G77" s="31"/>
      <c r="H77" s="6"/>
      <c r="I77" s="21"/>
      <c r="J77" s="59"/>
      <c r="K77" s="19"/>
      <c r="L77" s="22"/>
      <c r="M77" s="22"/>
    </row>
    <row r="78" spans="1:13" x14ac:dyDescent="0.2">
      <c r="A78" s="35"/>
      <c r="B78" s="6"/>
      <c r="C78" s="19"/>
      <c r="D78" s="14"/>
      <c r="E78" s="32"/>
      <c r="F78" s="32"/>
      <c r="G78" s="31"/>
      <c r="H78" s="6"/>
      <c r="I78" s="21"/>
      <c r="J78" s="59"/>
      <c r="K78" s="19"/>
      <c r="L78" s="22"/>
      <c r="M78" s="22"/>
    </row>
    <row r="79" spans="1:13" x14ac:dyDescent="0.2">
      <c r="A79" s="35"/>
      <c r="B79" s="6"/>
      <c r="C79" s="19"/>
      <c r="D79" s="14"/>
      <c r="E79" s="32"/>
      <c r="F79" s="32"/>
      <c r="G79" s="31"/>
      <c r="H79" s="6"/>
      <c r="I79" s="21"/>
      <c r="J79" s="59"/>
      <c r="K79" s="19"/>
      <c r="L79" s="22"/>
      <c r="M79" s="22"/>
    </row>
    <row r="80" spans="1:13" x14ac:dyDescent="0.2">
      <c r="A80" s="35"/>
      <c r="B80" s="6"/>
      <c r="C80" s="19"/>
      <c r="D80" s="14"/>
      <c r="E80" s="32"/>
      <c r="F80" s="32"/>
      <c r="G80" s="31"/>
      <c r="H80" s="6"/>
      <c r="I80" s="21"/>
      <c r="J80" s="59"/>
      <c r="K80" s="19"/>
      <c r="L80" s="22"/>
      <c r="M80" s="22"/>
    </row>
    <row r="81" spans="1:13" x14ac:dyDescent="0.2">
      <c r="A81" s="35"/>
      <c r="B81" s="6"/>
      <c r="C81" s="19"/>
      <c r="D81" s="14"/>
      <c r="E81" s="32"/>
      <c r="F81" s="32"/>
      <c r="G81" s="31"/>
      <c r="H81" s="6"/>
      <c r="I81" s="21"/>
      <c r="J81" s="59"/>
      <c r="K81" s="19"/>
      <c r="L81" s="22"/>
      <c r="M81" s="22"/>
    </row>
    <row r="82" spans="1:13" x14ac:dyDescent="0.2">
      <c r="A82" s="35"/>
      <c r="B82" s="6"/>
      <c r="C82" s="19"/>
      <c r="D82" s="14"/>
      <c r="E82" s="32"/>
      <c r="F82" s="32"/>
      <c r="G82" s="31"/>
      <c r="H82" s="6"/>
      <c r="I82" s="21"/>
      <c r="J82" s="59"/>
      <c r="K82" s="19"/>
      <c r="L82" s="22"/>
      <c r="M82" s="22"/>
    </row>
    <row r="83" spans="1:13" x14ac:dyDescent="0.2">
      <c r="A83" s="35"/>
      <c r="B83" s="6"/>
      <c r="C83" s="19"/>
      <c r="D83" s="14"/>
      <c r="E83" s="32"/>
      <c r="F83" s="32"/>
      <c r="G83" s="31"/>
      <c r="H83" s="6"/>
      <c r="I83" s="21"/>
      <c r="J83" s="59"/>
      <c r="K83" s="19"/>
      <c r="L83" s="22"/>
      <c r="M83" s="22"/>
    </row>
    <row r="84" spans="1:13" x14ac:dyDescent="0.2">
      <c r="A84" s="35"/>
      <c r="B84" s="6"/>
      <c r="C84" s="19"/>
      <c r="D84" s="14"/>
      <c r="E84" s="32"/>
      <c r="F84" s="32"/>
      <c r="G84" s="31"/>
      <c r="H84" s="6"/>
      <c r="I84" s="21"/>
      <c r="J84" s="59"/>
      <c r="K84" s="19"/>
      <c r="L84" s="22"/>
      <c r="M84" s="22"/>
    </row>
    <row r="85" spans="1:13" x14ac:dyDescent="0.2">
      <c r="A85" s="35"/>
      <c r="B85" s="6"/>
      <c r="C85" s="19"/>
      <c r="D85" s="14"/>
      <c r="E85" s="32"/>
      <c r="F85" s="32"/>
      <c r="G85" s="31"/>
      <c r="H85" s="6"/>
      <c r="I85" s="21"/>
      <c r="J85" s="59"/>
      <c r="K85" s="19"/>
      <c r="L85" s="22"/>
      <c r="M85" s="22"/>
    </row>
    <row r="86" spans="1:13" x14ac:dyDescent="0.2">
      <c r="A86" s="35"/>
      <c r="B86" s="6"/>
      <c r="C86" s="19"/>
      <c r="D86" s="14"/>
      <c r="E86" s="32"/>
      <c r="F86" s="32"/>
      <c r="G86" s="31"/>
      <c r="H86" s="6"/>
      <c r="I86" s="21"/>
      <c r="J86" s="59"/>
      <c r="K86" s="19"/>
      <c r="L86" s="22"/>
      <c r="M86" s="22"/>
    </row>
    <row r="87" spans="1:13" x14ac:dyDescent="0.2">
      <c r="A87" s="35"/>
      <c r="B87" s="6"/>
      <c r="C87" s="19"/>
      <c r="D87" s="14"/>
      <c r="E87" s="32"/>
      <c r="F87" s="32"/>
      <c r="G87" s="31"/>
      <c r="H87" s="6"/>
      <c r="I87" s="21"/>
      <c r="J87" s="59"/>
      <c r="K87" s="19"/>
      <c r="L87" s="22"/>
      <c r="M87" s="22"/>
    </row>
    <row r="88" spans="1:13" x14ac:dyDescent="0.2">
      <c r="A88" s="35"/>
      <c r="B88" s="6"/>
      <c r="C88" s="19"/>
      <c r="D88" s="14"/>
      <c r="E88" s="32"/>
      <c r="F88" s="32"/>
      <c r="G88" s="31"/>
      <c r="H88" s="6"/>
      <c r="I88" s="21"/>
      <c r="J88" s="59"/>
      <c r="K88" s="19"/>
      <c r="L88" s="22"/>
      <c r="M88" s="22"/>
    </row>
    <row r="89" spans="1:13" x14ac:dyDescent="0.2">
      <c r="A89" s="35"/>
      <c r="B89" s="6"/>
      <c r="C89" s="19"/>
      <c r="D89" s="14"/>
      <c r="E89" s="32"/>
      <c r="F89" s="32"/>
      <c r="G89" s="31"/>
      <c r="H89" s="6"/>
      <c r="I89" s="21"/>
      <c r="J89" s="59"/>
      <c r="K89" s="19"/>
      <c r="L89" s="22"/>
      <c r="M89" s="22"/>
    </row>
    <row r="90" spans="1:13" x14ac:dyDescent="0.2">
      <c r="A90" s="35"/>
      <c r="B90" s="6"/>
      <c r="C90" s="19"/>
      <c r="D90" s="14"/>
      <c r="E90" s="32"/>
      <c r="F90" s="32"/>
      <c r="G90" s="31"/>
      <c r="H90" s="6"/>
      <c r="I90" s="21"/>
      <c r="J90" s="59"/>
      <c r="K90" s="19"/>
      <c r="L90" s="22"/>
      <c r="M90" s="22"/>
    </row>
    <row r="91" spans="1:13" x14ac:dyDescent="0.2">
      <c r="A91" s="35"/>
      <c r="B91" s="6"/>
      <c r="C91" s="19"/>
      <c r="D91" s="14"/>
      <c r="E91" s="32"/>
      <c r="F91" s="32"/>
      <c r="G91" s="31"/>
      <c r="H91" s="6"/>
      <c r="I91" s="21"/>
      <c r="J91" s="59"/>
      <c r="K91" s="19"/>
      <c r="L91" s="22"/>
      <c r="M91" s="22"/>
    </row>
    <row r="92" spans="1:13" x14ac:dyDescent="0.2">
      <c r="A92" s="35"/>
      <c r="B92" s="6"/>
      <c r="C92" s="19"/>
      <c r="D92" s="14"/>
      <c r="E92" s="32"/>
      <c r="F92" s="32"/>
      <c r="G92" s="31"/>
      <c r="H92" s="6"/>
      <c r="I92" s="21"/>
      <c r="J92" s="59"/>
      <c r="K92" s="19"/>
      <c r="L92" s="22"/>
      <c r="M92" s="22"/>
    </row>
    <row r="93" spans="1:13" x14ac:dyDescent="0.2">
      <c r="A93" s="35"/>
      <c r="B93" s="6"/>
      <c r="C93" s="19"/>
      <c r="D93" s="14"/>
      <c r="E93" s="32"/>
      <c r="F93" s="32"/>
      <c r="G93" s="31"/>
      <c r="H93" s="6"/>
      <c r="I93" s="21"/>
      <c r="J93" s="59"/>
      <c r="K93" s="19"/>
      <c r="L93" s="22"/>
      <c r="M93" s="22"/>
    </row>
    <row r="94" spans="1:13" x14ac:dyDescent="0.2">
      <c r="A94" s="35"/>
      <c r="B94" s="6"/>
      <c r="C94" s="19"/>
      <c r="D94" s="14"/>
      <c r="E94" s="32"/>
      <c r="F94" s="32"/>
      <c r="G94" s="31"/>
      <c r="H94" s="6"/>
      <c r="I94" s="21"/>
      <c r="J94" s="59"/>
      <c r="K94" s="19"/>
      <c r="L94" s="22"/>
      <c r="M94" s="22"/>
    </row>
    <row r="95" spans="1:13" x14ac:dyDescent="0.2">
      <c r="A95" s="35"/>
      <c r="B95" s="6"/>
      <c r="C95" s="19"/>
      <c r="D95" s="14"/>
      <c r="E95" s="32"/>
      <c r="F95" s="32"/>
      <c r="G95" s="31"/>
      <c r="H95" s="6"/>
      <c r="I95" s="21"/>
      <c r="J95" s="59"/>
      <c r="K95" s="19"/>
      <c r="L95" s="22"/>
      <c r="M95" s="22"/>
    </row>
    <row r="96" spans="1:13" x14ac:dyDescent="0.2">
      <c r="A96" s="35"/>
      <c r="B96" s="6"/>
      <c r="C96" s="19"/>
      <c r="D96" s="14"/>
      <c r="E96" s="32"/>
      <c r="F96" s="32"/>
      <c r="G96" s="31"/>
      <c r="H96" s="6"/>
      <c r="I96" s="21"/>
      <c r="J96" s="59"/>
      <c r="K96" s="19"/>
      <c r="L96" s="22"/>
      <c r="M96" s="22"/>
    </row>
    <row r="97" spans="1:13" x14ac:dyDescent="0.2">
      <c r="A97" s="35"/>
      <c r="B97" s="6"/>
      <c r="C97" s="19"/>
      <c r="D97" s="14"/>
      <c r="E97" s="32"/>
      <c r="F97" s="32"/>
      <c r="G97" s="31"/>
      <c r="H97" s="6"/>
      <c r="I97" s="21"/>
      <c r="J97" s="59"/>
      <c r="K97" s="19"/>
      <c r="L97" s="22"/>
      <c r="M97" s="22"/>
    </row>
    <row r="98" spans="1:13" x14ac:dyDescent="0.2">
      <c r="A98" s="35"/>
      <c r="B98" s="6"/>
      <c r="C98" s="19"/>
      <c r="D98" s="14"/>
      <c r="E98" s="32"/>
      <c r="F98" s="32"/>
      <c r="G98" s="31"/>
      <c r="H98" s="6"/>
      <c r="I98" s="21"/>
      <c r="J98" s="59"/>
      <c r="K98" s="19"/>
      <c r="L98" s="22"/>
      <c r="M98" s="22"/>
    </row>
    <row r="99" spans="1:13" x14ac:dyDescent="0.2">
      <c r="A99" s="35"/>
      <c r="B99" s="6"/>
      <c r="C99" s="19"/>
      <c r="D99" s="14"/>
      <c r="E99" s="32"/>
      <c r="F99" s="32"/>
      <c r="G99" s="31"/>
      <c r="H99" s="6"/>
      <c r="I99" s="21"/>
      <c r="J99" s="59"/>
      <c r="K99" s="19"/>
      <c r="L99" s="22"/>
      <c r="M99" s="22"/>
    </row>
    <row r="100" spans="1:13" x14ac:dyDescent="0.2">
      <c r="A100" s="35"/>
      <c r="B100" s="6"/>
      <c r="C100" s="19"/>
      <c r="D100" s="14"/>
      <c r="E100" s="32"/>
      <c r="F100" s="32"/>
      <c r="G100" s="31"/>
      <c r="H100" s="6"/>
      <c r="I100" s="21"/>
      <c r="J100" s="59"/>
      <c r="K100" s="19"/>
      <c r="L100" s="22"/>
      <c r="M100" s="22"/>
    </row>
    <row r="101" spans="1:13" x14ac:dyDescent="0.2">
      <c r="A101" s="35"/>
      <c r="B101" s="6"/>
      <c r="C101" s="19"/>
      <c r="D101" s="14"/>
      <c r="E101" s="32"/>
      <c r="F101" s="32"/>
      <c r="G101" s="31"/>
      <c r="H101" s="6"/>
      <c r="I101" s="21"/>
      <c r="J101" s="59"/>
      <c r="K101" s="19"/>
      <c r="L101" s="22"/>
      <c r="M101" s="22"/>
    </row>
    <row r="102" spans="1:13" x14ac:dyDescent="0.2">
      <c r="A102" s="35"/>
      <c r="B102" s="6"/>
      <c r="C102" s="19"/>
      <c r="D102" s="14"/>
      <c r="E102" s="32"/>
      <c r="F102" s="32"/>
      <c r="G102" s="31"/>
      <c r="H102" s="6"/>
      <c r="I102" s="21"/>
      <c r="J102" s="59"/>
      <c r="K102" s="19"/>
      <c r="L102" s="22"/>
      <c r="M102" s="22"/>
    </row>
    <row r="103" spans="1:13" x14ac:dyDescent="0.2">
      <c r="A103" s="35"/>
      <c r="B103" s="6"/>
      <c r="C103" s="19"/>
      <c r="D103" s="14"/>
      <c r="E103" s="32"/>
      <c r="F103" s="32"/>
      <c r="G103" s="31"/>
      <c r="H103" s="6"/>
      <c r="I103" s="21"/>
      <c r="J103" s="59"/>
      <c r="K103" s="19"/>
      <c r="L103" s="22"/>
      <c r="M103" s="22"/>
    </row>
    <row r="104" spans="1:13" x14ac:dyDescent="0.2">
      <c r="A104" s="35"/>
      <c r="B104" s="6"/>
      <c r="C104" s="19"/>
      <c r="D104" s="14"/>
      <c r="E104" s="32"/>
      <c r="F104" s="32"/>
      <c r="G104" s="31"/>
      <c r="H104" s="6"/>
      <c r="I104" s="21"/>
      <c r="J104" s="59"/>
      <c r="K104" s="19"/>
      <c r="L104" s="22"/>
      <c r="M104" s="22"/>
    </row>
    <row r="105" spans="1:13" x14ac:dyDescent="0.2">
      <c r="A105" s="35"/>
      <c r="B105" s="6"/>
      <c r="C105" s="19"/>
      <c r="D105" s="14"/>
      <c r="E105" s="32"/>
      <c r="F105" s="32"/>
      <c r="G105" s="31"/>
      <c r="H105" s="6"/>
      <c r="I105" s="21"/>
      <c r="J105" s="59"/>
      <c r="K105" s="19"/>
      <c r="L105" s="22"/>
      <c r="M105" s="22"/>
    </row>
    <row r="106" spans="1:13" x14ac:dyDescent="0.2">
      <c r="A106" s="35"/>
      <c r="B106" s="6"/>
      <c r="C106" s="19"/>
      <c r="D106" s="14"/>
      <c r="E106" s="32"/>
      <c r="F106" s="32"/>
      <c r="G106" s="31"/>
      <c r="H106" s="6"/>
      <c r="I106" s="21"/>
      <c r="J106" s="59"/>
      <c r="K106" s="19"/>
      <c r="L106" s="22"/>
      <c r="M106" s="22"/>
    </row>
    <row r="107" spans="1:13" x14ac:dyDescent="0.2">
      <c r="A107" s="35"/>
      <c r="B107" s="6"/>
      <c r="C107" s="19"/>
      <c r="D107" s="14"/>
      <c r="E107" s="32"/>
      <c r="F107" s="32"/>
      <c r="G107" s="31"/>
      <c r="H107" s="6"/>
      <c r="I107" s="21"/>
      <c r="J107" s="59"/>
      <c r="K107" s="19"/>
      <c r="L107" s="22"/>
      <c r="M107" s="22"/>
    </row>
    <row r="108" spans="1:13" x14ac:dyDescent="0.2">
      <c r="A108" s="35"/>
      <c r="B108" s="6"/>
      <c r="C108" s="19"/>
      <c r="D108" s="14"/>
      <c r="E108" s="32"/>
      <c r="F108" s="32"/>
      <c r="G108" s="31"/>
      <c r="H108" s="6"/>
      <c r="I108" s="21"/>
      <c r="J108" s="59"/>
      <c r="K108" s="19"/>
      <c r="L108" s="22"/>
      <c r="M108" s="22"/>
    </row>
    <row r="109" spans="1:13" x14ac:dyDescent="0.2">
      <c r="A109" s="35"/>
      <c r="B109" s="6"/>
      <c r="C109" s="19"/>
      <c r="D109" s="14"/>
      <c r="E109" s="32"/>
      <c r="F109" s="32"/>
      <c r="G109" s="31"/>
      <c r="H109" s="6"/>
      <c r="I109" s="21"/>
      <c r="J109" s="59"/>
      <c r="K109" s="19"/>
      <c r="L109" s="22"/>
      <c r="M109" s="22"/>
    </row>
    <row r="110" spans="1:13" x14ac:dyDescent="0.2">
      <c r="A110" s="35"/>
      <c r="B110" s="6"/>
      <c r="C110" s="19"/>
      <c r="D110" s="14"/>
      <c r="E110" s="32"/>
      <c r="F110" s="32"/>
      <c r="G110" s="31"/>
      <c r="H110" s="6"/>
      <c r="I110" s="21"/>
      <c r="J110" s="59"/>
      <c r="K110" s="19"/>
      <c r="L110" s="22"/>
      <c r="M110" s="22"/>
    </row>
    <row r="111" spans="1:13" x14ac:dyDescent="0.2">
      <c r="A111" s="35"/>
      <c r="B111" s="6"/>
      <c r="C111" s="19"/>
      <c r="D111" s="14"/>
      <c r="E111" s="32"/>
      <c r="F111" s="32"/>
      <c r="G111" s="31"/>
      <c r="H111" s="6"/>
      <c r="I111" s="21"/>
      <c r="J111" s="59"/>
      <c r="K111" s="19"/>
      <c r="L111" s="22"/>
      <c r="M111" s="22"/>
    </row>
    <row r="112" spans="1:13" x14ac:dyDescent="0.2">
      <c r="A112" s="35"/>
      <c r="B112" s="6"/>
      <c r="C112" s="19"/>
      <c r="D112" s="14"/>
      <c r="E112" s="32"/>
      <c r="F112" s="32"/>
      <c r="G112" s="31"/>
      <c r="H112" s="6"/>
      <c r="I112" s="21"/>
      <c r="J112" s="59"/>
      <c r="K112" s="19"/>
      <c r="L112" s="22"/>
      <c r="M112" s="22"/>
    </row>
    <row r="113" spans="1:13" x14ac:dyDescent="0.2">
      <c r="A113" s="35"/>
      <c r="B113" s="6"/>
      <c r="C113" s="19"/>
      <c r="D113" s="14"/>
      <c r="E113" s="32"/>
      <c r="F113" s="32"/>
      <c r="G113" s="31"/>
      <c r="H113" s="6"/>
      <c r="I113" s="21"/>
      <c r="J113" s="59"/>
      <c r="K113" s="19"/>
      <c r="L113" s="22"/>
      <c r="M113" s="22"/>
    </row>
    <row r="114" spans="1:13" x14ac:dyDescent="0.2">
      <c r="A114" s="35"/>
      <c r="B114" s="6"/>
      <c r="C114" s="19"/>
      <c r="D114" s="14"/>
      <c r="E114" s="32"/>
      <c r="F114" s="32"/>
      <c r="G114" s="31"/>
      <c r="H114" s="6"/>
      <c r="I114" s="21"/>
      <c r="J114" s="59"/>
      <c r="K114" s="19"/>
      <c r="L114" s="22"/>
      <c r="M114" s="22"/>
    </row>
    <row r="115" spans="1:13" x14ac:dyDescent="0.2">
      <c r="A115" s="35"/>
      <c r="B115" s="6"/>
      <c r="C115" s="19"/>
      <c r="D115" s="14"/>
      <c r="E115" s="32"/>
      <c r="F115" s="32"/>
      <c r="G115" s="31"/>
      <c r="H115" s="6"/>
      <c r="I115" s="21"/>
      <c r="J115" s="59"/>
      <c r="K115" s="19"/>
      <c r="L115" s="22"/>
      <c r="M115" s="22"/>
    </row>
    <row r="116" spans="1:13" x14ac:dyDescent="0.2">
      <c r="A116" s="35"/>
      <c r="B116" s="6"/>
      <c r="C116" s="19"/>
      <c r="D116" s="14"/>
      <c r="E116" s="32"/>
      <c r="F116" s="32"/>
      <c r="G116" s="31"/>
      <c r="H116" s="6"/>
      <c r="I116" s="21"/>
      <c r="J116" s="59"/>
      <c r="K116" s="19"/>
      <c r="L116" s="22"/>
      <c r="M116" s="22"/>
    </row>
    <row r="117" spans="1:13" x14ac:dyDescent="0.2">
      <c r="A117" s="35"/>
      <c r="B117" s="6"/>
      <c r="C117" s="19"/>
      <c r="D117" s="14"/>
      <c r="E117" s="32"/>
      <c r="F117" s="32"/>
      <c r="G117" s="31"/>
      <c r="H117" s="6"/>
      <c r="I117" s="21"/>
      <c r="J117" s="59"/>
      <c r="K117" s="19"/>
      <c r="L117" s="22"/>
      <c r="M117" s="22"/>
    </row>
    <row r="118" spans="1:13" x14ac:dyDescent="0.2">
      <c r="A118" s="35"/>
      <c r="B118" s="6"/>
      <c r="C118" s="19"/>
      <c r="D118" s="14"/>
      <c r="E118" s="32"/>
      <c r="F118" s="32"/>
      <c r="G118" s="31"/>
      <c r="H118" s="6"/>
      <c r="I118" s="21"/>
      <c r="J118" s="59"/>
      <c r="K118" s="19"/>
      <c r="L118" s="22"/>
      <c r="M118" s="22"/>
    </row>
    <row r="119" spans="1:13" x14ac:dyDescent="0.2">
      <c r="A119" s="35"/>
      <c r="B119" s="6"/>
      <c r="C119" s="19"/>
      <c r="D119" s="14"/>
      <c r="E119" s="32"/>
      <c r="F119" s="32"/>
      <c r="G119" s="31"/>
      <c r="H119" s="6"/>
      <c r="I119" s="21"/>
      <c r="J119" s="59"/>
      <c r="K119" s="19"/>
      <c r="L119" s="22"/>
      <c r="M119" s="22"/>
    </row>
    <row r="120" spans="1:13" x14ac:dyDescent="0.2">
      <c r="A120" s="35"/>
      <c r="B120" s="6"/>
      <c r="C120" s="19"/>
      <c r="D120" s="14"/>
      <c r="E120" s="32"/>
      <c r="F120" s="32"/>
      <c r="G120" s="31"/>
      <c r="H120" s="6"/>
      <c r="I120" s="21"/>
      <c r="J120" s="59"/>
      <c r="K120" s="19"/>
      <c r="L120" s="22"/>
      <c r="M120" s="22"/>
    </row>
    <row r="121" spans="1:13" x14ac:dyDescent="0.2">
      <c r="A121" s="35"/>
      <c r="B121" s="6"/>
      <c r="C121" s="19"/>
      <c r="D121" s="14"/>
      <c r="E121" s="32"/>
      <c r="F121" s="32"/>
      <c r="G121" s="31"/>
      <c r="H121" s="6"/>
      <c r="I121" s="21"/>
      <c r="J121" s="59"/>
      <c r="K121" s="19"/>
      <c r="L121" s="22"/>
      <c r="M121" s="22"/>
    </row>
    <row r="122" spans="1:13" x14ac:dyDescent="0.2">
      <c r="A122" s="35"/>
      <c r="B122" s="6"/>
      <c r="C122" s="19"/>
      <c r="D122" s="14"/>
      <c r="E122" s="32"/>
      <c r="F122" s="32"/>
      <c r="G122" s="31"/>
      <c r="H122" s="6"/>
      <c r="I122" s="21"/>
      <c r="J122" s="59"/>
      <c r="K122" s="19"/>
      <c r="L122" s="22"/>
      <c r="M122" s="22"/>
    </row>
    <row r="123" spans="1:13" x14ac:dyDescent="0.2">
      <c r="A123" s="35"/>
      <c r="B123" s="6"/>
      <c r="C123" s="19"/>
      <c r="D123" s="14"/>
      <c r="E123" s="32"/>
      <c r="F123" s="32"/>
      <c r="G123" s="31"/>
      <c r="H123" s="6"/>
      <c r="I123" s="21"/>
      <c r="J123" s="59"/>
      <c r="K123" s="19"/>
      <c r="L123" s="22"/>
      <c r="M123" s="22"/>
    </row>
    <row r="124" spans="1:13" x14ac:dyDescent="0.2">
      <c r="A124" s="35"/>
      <c r="B124" s="6"/>
      <c r="C124" s="19"/>
      <c r="D124" s="14"/>
      <c r="E124" s="32"/>
      <c r="F124" s="32"/>
      <c r="G124" s="31"/>
      <c r="H124" s="6"/>
      <c r="I124" s="21"/>
      <c r="J124" s="59"/>
      <c r="K124" s="19"/>
      <c r="L124" s="22"/>
      <c r="M124" s="22"/>
    </row>
    <row r="125" spans="1:13" x14ac:dyDescent="0.2">
      <c r="A125" s="35"/>
      <c r="B125" s="6"/>
      <c r="C125" s="19"/>
      <c r="D125" s="14"/>
      <c r="E125" s="32"/>
      <c r="F125" s="32"/>
      <c r="G125" s="31"/>
      <c r="H125" s="6"/>
      <c r="I125" s="21"/>
      <c r="J125" s="59"/>
      <c r="K125" s="19"/>
      <c r="L125" s="22"/>
      <c r="M125" s="22"/>
    </row>
    <row r="126" spans="1:13" x14ac:dyDescent="0.2">
      <c r="A126" s="35"/>
      <c r="B126" s="6"/>
      <c r="C126" s="19"/>
      <c r="D126" s="14"/>
      <c r="E126" s="32"/>
      <c r="F126" s="32"/>
      <c r="G126" s="31"/>
      <c r="H126" s="6"/>
      <c r="I126" s="21"/>
      <c r="J126" s="59"/>
      <c r="K126" s="19"/>
      <c r="L126" s="22"/>
      <c r="M126" s="22"/>
    </row>
    <row r="127" spans="1:13" x14ac:dyDescent="0.2">
      <c r="A127" s="35"/>
      <c r="B127" s="6"/>
      <c r="C127" s="19"/>
      <c r="D127" s="14"/>
      <c r="E127" s="32"/>
      <c r="F127" s="32"/>
      <c r="G127" s="31"/>
      <c r="H127" s="6"/>
      <c r="I127" s="21"/>
      <c r="J127" s="59"/>
      <c r="K127" s="19"/>
      <c r="L127" s="22"/>
      <c r="M127" s="22"/>
    </row>
    <row r="128" spans="1:13" x14ac:dyDescent="0.2">
      <c r="A128" s="35"/>
      <c r="B128" s="6"/>
      <c r="C128" s="19"/>
      <c r="D128" s="14"/>
      <c r="E128" s="32"/>
      <c r="F128" s="32"/>
      <c r="G128" s="31"/>
      <c r="H128" s="6"/>
      <c r="I128" s="21"/>
      <c r="J128" s="59"/>
      <c r="K128" s="19"/>
      <c r="L128" s="22"/>
      <c r="M128" s="22"/>
    </row>
    <row r="129" spans="1:13" x14ac:dyDescent="0.2">
      <c r="A129" s="35"/>
      <c r="B129" s="6"/>
      <c r="C129" s="19"/>
      <c r="D129" s="14"/>
      <c r="E129" s="32"/>
      <c r="F129" s="32"/>
      <c r="G129" s="31"/>
      <c r="H129" s="6"/>
      <c r="I129" s="21"/>
      <c r="J129" s="59"/>
      <c r="K129" s="19"/>
      <c r="L129" s="22"/>
      <c r="M129" s="22"/>
    </row>
    <row r="130" spans="1:13" x14ac:dyDescent="0.2">
      <c r="A130" s="35"/>
      <c r="B130" s="6"/>
      <c r="C130" s="19"/>
      <c r="D130" s="14"/>
      <c r="E130" s="32"/>
      <c r="F130" s="32"/>
      <c r="G130" s="31"/>
      <c r="H130" s="6"/>
      <c r="I130" s="21"/>
      <c r="J130" s="59"/>
      <c r="K130" s="19"/>
      <c r="L130" s="22"/>
      <c r="M130" s="22"/>
    </row>
    <row r="131" spans="1:13" x14ac:dyDescent="0.2">
      <c r="A131" s="35"/>
      <c r="B131" s="6"/>
      <c r="C131" s="19"/>
      <c r="D131" s="14"/>
      <c r="E131" s="32"/>
      <c r="F131" s="32"/>
      <c r="G131" s="31"/>
      <c r="H131" s="6"/>
      <c r="I131" s="21"/>
      <c r="J131" s="59"/>
      <c r="K131" s="19"/>
      <c r="L131" s="22"/>
      <c r="M131" s="22"/>
    </row>
    <row r="132" spans="1:13" x14ac:dyDescent="0.2">
      <c r="A132" s="35"/>
      <c r="B132" s="6"/>
      <c r="C132" s="19"/>
      <c r="D132" s="14"/>
      <c r="E132" s="32"/>
      <c r="F132" s="32"/>
      <c r="G132" s="31"/>
      <c r="H132" s="6"/>
      <c r="I132" s="21"/>
      <c r="J132" s="59"/>
      <c r="K132" s="19"/>
      <c r="L132" s="22"/>
      <c r="M132" s="22"/>
    </row>
    <row r="133" spans="1:13" x14ac:dyDescent="0.2">
      <c r="A133" s="35"/>
      <c r="B133" s="6"/>
      <c r="C133" s="19"/>
      <c r="D133" s="14"/>
      <c r="E133" s="32"/>
      <c r="F133" s="32"/>
      <c r="G133" s="31"/>
      <c r="H133" s="6"/>
      <c r="I133" s="21"/>
      <c r="J133" s="59"/>
      <c r="K133" s="19"/>
      <c r="L133" s="22"/>
      <c r="M133" s="22"/>
    </row>
    <row r="134" spans="1:13" x14ac:dyDescent="0.2">
      <c r="A134" s="35"/>
      <c r="B134" s="6"/>
      <c r="C134" s="19"/>
      <c r="D134" s="14"/>
      <c r="E134" s="32"/>
      <c r="F134" s="32"/>
      <c r="G134" s="31"/>
      <c r="H134" s="6"/>
      <c r="I134" s="21"/>
      <c r="J134" s="59"/>
      <c r="K134" s="19"/>
      <c r="L134" s="22"/>
      <c r="M134" s="22"/>
    </row>
    <row r="135" spans="1:13" x14ac:dyDescent="0.2">
      <c r="A135" s="35"/>
      <c r="B135" s="6"/>
      <c r="C135" s="19"/>
      <c r="D135" s="14"/>
      <c r="E135" s="32"/>
      <c r="F135" s="32"/>
      <c r="G135" s="31"/>
      <c r="H135" s="6"/>
      <c r="I135" s="21"/>
      <c r="J135" s="59"/>
      <c r="K135" s="19"/>
      <c r="L135" s="22"/>
      <c r="M135" s="22"/>
    </row>
  </sheetData>
  <mergeCells count="3">
    <mergeCell ref="G1:G2"/>
    <mergeCell ref="A21:K21"/>
    <mergeCell ref="A19:M19"/>
  </mergeCells>
  <phoneticPr fontId="1"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5307B6FA-E0FB-614D-BD00-79850243206D}">
          <x14:formula1>
            <xm:f>Dropdowns!$K$2:$K$6</xm:f>
          </x14:formula1>
          <xm:sqref>J32:J135 J4:J16 J18 J22:J30</xm:sqref>
        </x14:dataValidation>
        <x14:dataValidation type="list" allowBlank="1" showInputMessage="1" showErrorMessage="1" xr:uid="{50CC6877-C633-AE49-AB9A-A451F2695188}">
          <x14:formula1>
            <xm:f>Dropdowns!$C$2:$C$8</xm:f>
          </x14:formula1>
          <xm:sqref>B4:B16 B18 B22:B135</xm:sqref>
        </x14:dataValidation>
        <x14:dataValidation type="list" allowBlank="1" showInputMessage="1" showErrorMessage="1" xr:uid="{F2AA80C4-5BE5-5E4A-9998-0F615F08B2E5}">
          <x14:formula1>
            <xm:f>Dropdowns!$I$2:$I$15</xm:f>
          </x14:formula1>
          <xm:sqref>H4:H6 H8:H16 H18 H22:H135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D42A-B6DA-2140-BF1A-40EBC564CE0D}">
  <dimension ref="A1:M137"/>
  <sheetViews>
    <sheetView showGridLines="0" zoomScale="120" zoomScaleNormal="120" workbookViewId="0">
      <selection activeCell="G6" sqref="G6"/>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83203125" bestFit="1" customWidth="1"/>
    <col min="6" max="6" width="14.33203125" bestFit="1" customWidth="1"/>
    <col min="7" max="7" width="11.1640625" bestFit="1" customWidth="1"/>
    <col min="8" max="8" width="30.6640625" customWidth="1"/>
    <col min="9" max="9" width="16" customWidth="1"/>
    <col min="10" max="10" width="51.83203125" customWidth="1"/>
    <col min="11" max="11" width="25.5" bestFit="1" customWidth="1"/>
    <col min="12" max="12" width="26.33203125" bestFit="1" customWidth="1"/>
  </cols>
  <sheetData>
    <row r="1" spans="1:12" x14ac:dyDescent="0.2">
      <c r="E1" s="128" t="s">
        <v>114</v>
      </c>
      <c r="F1" s="126">
        <v>17.05</v>
      </c>
    </row>
    <row r="2" spans="1:12" ht="16" thickBot="1" x14ac:dyDescent="0.25">
      <c r="E2" s="129"/>
      <c r="F2" s="127"/>
    </row>
    <row r="3" spans="1:12" ht="16" x14ac:dyDescent="0.2">
      <c r="A3" t="s">
        <v>183</v>
      </c>
      <c r="B3" s="51" t="s">
        <v>152</v>
      </c>
      <c r="C3" s="53" t="s">
        <v>117</v>
      </c>
      <c r="D3" t="s">
        <v>526</v>
      </c>
      <c r="E3" s="52" t="s">
        <v>256</v>
      </c>
      <c r="F3" s="52" t="s">
        <v>70</v>
      </c>
      <c r="G3" s="52" t="s">
        <v>154</v>
      </c>
      <c r="H3" t="s">
        <v>527</v>
      </c>
      <c r="I3" s="54" t="s">
        <v>116</v>
      </c>
      <c r="J3" s="1" t="s">
        <v>428</v>
      </c>
      <c r="K3" s="55" t="s">
        <v>113</v>
      </c>
      <c r="L3" s="55" t="s">
        <v>112</v>
      </c>
    </row>
    <row r="4" spans="1:12" ht="64" x14ac:dyDescent="0.2">
      <c r="A4" s="85" t="s">
        <v>278</v>
      </c>
      <c r="B4" s="85" t="s">
        <v>129</v>
      </c>
      <c r="C4" s="82" t="s">
        <v>17</v>
      </c>
      <c r="D4" s="101" t="s">
        <v>11</v>
      </c>
      <c r="E4" s="88">
        <v>4000000</v>
      </c>
      <c r="F4" s="87">
        <f>Table81012131415161718[[#This Row],[Total US$ ]]*$F$1</f>
        <v>68200000</v>
      </c>
      <c r="G4" s="85" t="s">
        <v>601</v>
      </c>
      <c r="H4" s="83"/>
      <c r="I4" s="109" t="s">
        <v>338</v>
      </c>
      <c r="J4" s="82" t="s">
        <v>469</v>
      </c>
      <c r="K4" s="111">
        <v>45170</v>
      </c>
      <c r="L4" s="111">
        <v>47025</v>
      </c>
    </row>
    <row r="5" spans="1:12" ht="64" x14ac:dyDescent="0.2">
      <c r="A5" s="85" t="s">
        <v>279</v>
      </c>
      <c r="B5" s="85" t="s">
        <v>128</v>
      </c>
      <c r="C5" s="82" t="s">
        <v>369</v>
      </c>
      <c r="D5" s="101" t="s">
        <v>11</v>
      </c>
      <c r="E5" s="88">
        <v>5000000</v>
      </c>
      <c r="F5" s="87">
        <f>Table81012131415161718[[#This Row],[Total US$ ]]*$F$1</f>
        <v>85250000</v>
      </c>
      <c r="G5" s="85" t="s">
        <v>601</v>
      </c>
      <c r="H5" s="83"/>
      <c r="I5" s="109" t="s">
        <v>338</v>
      </c>
      <c r="J5" s="82" t="s">
        <v>470</v>
      </c>
      <c r="K5" s="111">
        <v>45170</v>
      </c>
      <c r="L5" s="111">
        <v>47025</v>
      </c>
    </row>
    <row r="6" spans="1:12" ht="64" x14ac:dyDescent="0.2">
      <c r="A6" s="85" t="s">
        <v>280</v>
      </c>
      <c r="B6" s="85" t="s">
        <v>129</v>
      </c>
      <c r="C6" s="82" t="s">
        <v>370</v>
      </c>
      <c r="D6" s="101" t="s">
        <v>11</v>
      </c>
      <c r="E6" s="88">
        <v>5000000</v>
      </c>
      <c r="F6" s="87">
        <f>Table81012131415161718[[#This Row],[Total US$ ]]*$F$1</f>
        <v>85250000</v>
      </c>
      <c r="G6" s="85" t="s">
        <v>601</v>
      </c>
      <c r="H6" s="83"/>
      <c r="I6" s="109" t="s">
        <v>338</v>
      </c>
      <c r="J6" s="82" t="s">
        <v>471</v>
      </c>
      <c r="K6" s="111">
        <v>45170</v>
      </c>
      <c r="L6" s="111">
        <v>47025</v>
      </c>
    </row>
    <row r="7" spans="1:12" ht="64" x14ac:dyDescent="0.2">
      <c r="A7" s="85" t="s">
        <v>281</v>
      </c>
      <c r="B7" s="85" t="s">
        <v>129</v>
      </c>
      <c r="C7" s="82" t="s">
        <v>371</v>
      </c>
      <c r="D7" s="101" t="s">
        <v>11</v>
      </c>
      <c r="E7" s="88">
        <v>15000000</v>
      </c>
      <c r="F7" s="87">
        <f>Table81012131415161718[[#This Row],[Total US$ ]]*$F$1</f>
        <v>255750000</v>
      </c>
      <c r="G7" s="85" t="s">
        <v>601</v>
      </c>
      <c r="H7" s="83"/>
      <c r="I7" s="109" t="s">
        <v>338</v>
      </c>
      <c r="J7" s="82" t="s">
        <v>474</v>
      </c>
      <c r="K7" s="111">
        <v>45170</v>
      </c>
      <c r="L7" s="111">
        <v>47025</v>
      </c>
    </row>
    <row r="8" spans="1:12" ht="192" x14ac:dyDescent="0.2">
      <c r="A8" s="85" t="s">
        <v>282</v>
      </c>
      <c r="B8" s="85" t="s">
        <v>129</v>
      </c>
      <c r="C8" s="82" t="s">
        <v>372</v>
      </c>
      <c r="D8" s="82" t="s">
        <v>378</v>
      </c>
      <c r="E8" s="88">
        <v>550000</v>
      </c>
      <c r="F8" s="87">
        <f>Table81012131415161718[[#This Row],[Total US$ ]]*$F$1</f>
        <v>9377500</v>
      </c>
      <c r="G8" s="85" t="s">
        <v>601</v>
      </c>
      <c r="H8" s="83"/>
      <c r="I8" s="109" t="s">
        <v>338</v>
      </c>
      <c r="J8" s="82" t="s">
        <v>472</v>
      </c>
      <c r="K8" s="111">
        <v>45170</v>
      </c>
      <c r="L8" s="111">
        <v>47025</v>
      </c>
    </row>
    <row r="9" spans="1:12" ht="64" x14ac:dyDescent="0.2">
      <c r="A9" s="85" t="s">
        <v>283</v>
      </c>
      <c r="B9" s="85" t="s">
        <v>125</v>
      </c>
      <c r="C9" s="82" t="s">
        <v>373</v>
      </c>
      <c r="D9" s="101" t="s">
        <v>404</v>
      </c>
      <c r="E9" s="88">
        <v>380000</v>
      </c>
      <c r="F9" s="87">
        <f>Table81012131415161718[[#This Row],[Total US$ ]]*$F$1</f>
        <v>6479000</v>
      </c>
      <c r="G9" s="85" t="s">
        <v>601</v>
      </c>
      <c r="H9" s="83"/>
      <c r="I9" s="109" t="s">
        <v>338</v>
      </c>
      <c r="J9" s="82" t="s">
        <v>473</v>
      </c>
      <c r="K9" s="111">
        <v>45170</v>
      </c>
      <c r="L9" s="111">
        <v>47025</v>
      </c>
    </row>
    <row r="10" spans="1:12" ht="96" x14ac:dyDescent="0.2">
      <c r="A10" s="85" t="s">
        <v>284</v>
      </c>
      <c r="B10" s="85" t="s">
        <v>125</v>
      </c>
      <c r="C10" s="82" t="s">
        <v>7</v>
      </c>
      <c r="D10" s="101" t="s">
        <v>404</v>
      </c>
      <c r="E10" s="88">
        <v>180000</v>
      </c>
      <c r="F10" s="87">
        <f>Table81012131415161718[[#This Row],[Total US$ ]]*$F$1</f>
        <v>3069000</v>
      </c>
      <c r="G10" s="85" t="s">
        <v>601</v>
      </c>
      <c r="H10" s="83"/>
      <c r="I10" s="109" t="s">
        <v>338</v>
      </c>
      <c r="J10" s="82" t="s">
        <v>475</v>
      </c>
      <c r="K10" s="111">
        <v>45170</v>
      </c>
      <c r="L10" s="111">
        <v>47025</v>
      </c>
    </row>
    <row r="11" spans="1:12" ht="64" x14ac:dyDescent="0.2">
      <c r="A11" s="85" t="s">
        <v>285</v>
      </c>
      <c r="B11" s="85" t="s">
        <v>125</v>
      </c>
      <c r="C11" s="82" t="s">
        <v>374</v>
      </c>
      <c r="D11" s="101" t="s">
        <v>404</v>
      </c>
      <c r="E11" s="88">
        <v>380000</v>
      </c>
      <c r="F11" s="87">
        <f>Table81012131415161718[[#This Row],[Total US$ ]]*$F$1</f>
        <v>6479000</v>
      </c>
      <c r="G11" s="85" t="s">
        <v>601</v>
      </c>
      <c r="H11" s="83"/>
      <c r="I11" s="109" t="s">
        <v>338</v>
      </c>
      <c r="J11" s="82" t="s">
        <v>476</v>
      </c>
      <c r="K11" s="111">
        <v>45170</v>
      </c>
      <c r="L11" s="111">
        <v>47025</v>
      </c>
    </row>
    <row r="12" spans="1:12" s="65" customFormat="1" ht="112" x14ac:dyDescent="0.2">
      <c r="A12" s="85" t="s">
        <v>286</v>
      </c>
      <c r="B12" s="85" t="s">
        <v>96</v>
      </c>
      <c r="C12" s="82" t="s">
        <v>375</v>
      </c>
      <c r="D12" s="101" t="s">
        <v>404</v>
      </c>
      <c r="E12" s="88">
        <v>280000</v>
      </c>
      <c r="F12" s="87">
        <f>Table81012131415161718[[#This Row],[Total US$ ]]*$F$1</f>
        <v>4774000</v>
      </c>
      <c r="G12" s="85" t="s">
        <v>601</v>
      </c>
      <c r="H12" s="83"/>
      <c r="I12" s="109" t="s">
        <v>338</v>
      </c>
      <c r="J12" s="82" t="s">
        <v>477</v>
      </c>
      <c r="K12" s="111">
        <v>45170</v>
      </c>
      <c r="L12" s="111">
        <v>47025</v>
      </c>
    </row>
    <row r="13" spans="1:12" s="65" customFormat="1" ht="64" x14ac:dyDescent="0.2">
      <c r="A13" s="85" t="s">
        <v>287</v>
      </c>
      <c r="B13" s="85" t="s">
        <v>96</v>
      </c>
      <c r="C13" s="82" t="s">
        <v>376</v>
      </c>
      <c r="D13" s="101" t="s">
        <v>404</v>
      </c>
      <c r="E13" s="88">
        <v>280000</v>
      </c>
      <c r="F13" s="87">
        <f>Table81012131415161718[[#This Row],[Total US$ ]]*$F$1</f>
        <v>4774000</v>
      </c>
      <c r="G13" s="85" t="s">
        <v>601</v>
      </c>
      <c r="H13" s="83"/>
      <c r="I13" s="109" t="s">
        <v>338</v>
      </c>
      <c r="J13" s="82" t="s">
        <v>478</v>
      </c>
      <c r="K13" s="111">
        <v>45170</v>
      </c>
      <c r="L13" s="111">
        <v>47025</v>
      </c>
    </row>
    <row r="14" spans="1:12" ht="96" x14ac:dyDescent="0.2">
      <c r="A14" s="85" t="s">
        <v>288</v>
      </c>
      <c r="B14" s="85" t="s">
        <v>125</v>
      </c>
      <c r="C14" s="82" t="s">
        <v>7</v>
      </c>
      <c r="D14" s="101" t="s">
        <v>379</v>
      </c>
      <c r="E14" s="88">
        <v>250000</v>
      </c>
      <c r="F14" s="87">
        <f>Table81012131415161718[[#This Row],[Total US$ ]]*$F$1</f>
        <v>4262500</v>
      </c>
      <c r="G14" s="85" t="s">
        <v>601</v>
      </c>
      <c r="H14" s="83" t="s">
        <v>389</v>
      </c>
      <c r="I14" s="109" t="s">
        <v>338</v>
      </c>
      <c r="J14" s="82" t="s">
        <v>479</v>
      </c>
      <c r="K14" s="111">
        <v>45170</v>
      </c>
      <c r="L14" s="111">
        <v>47025</v>
      </c>
    </row>
    <row r="15" spans="1:12" ht="240" x14ac:dyDescent="0.2">
      <c r="A15" s="85" t="s">
        <v>289</v>
      </c>
      <c r="B15" s="85" t="s">
        <v>125</v>
      </c>
      <c r="C15" s="82" t="s">
        <v>7</v>
      </c>
      <c r="D15" s="101" t="s">
        <v>387</v>
      </c>
      <c r="E15" s="88">
        <v>1276740</v>
      </c>
      <c r="F15" s="87">
        <f>Table81012131415161718[[#This Row],[Total US$ ]]*$F$1</f>
        <v>21768417</v>
      </c>
      <c r="G15" s="85" t="s">
        <v>601</v>
      </c>
      <c r="H15" s="83" t="s">
        <v>87</v>
      </c>
      <c r="I15" s="109" t="s">
        <v>329</v>
      </c>
      <c r="J15" s="82" t="s">
        <v>480</v>
      </c>
      <c r="K15" s="111">
        <v>45108</v>
      </c>
      <c r="L15" s="111">
        <v>45504</v>
      </c>
    </row>
    <row r="16" spans="1:12" ht="192" x14ac:dyDescent="0.2">
      <c r="A16" s="85" t="s">
        <v>290</v>
      </c>
      <c r="B16" s="85" t="s">
        <v>125</v>
      </c>
      <c r="C16" s="82" t="s">
        <v>384</v>
      </c>
      <c r="D16" s="101" t="s">
        <v>11</v>
      </c>
      <c r="E16" s="88">
        <v>8723260</v>
      </c>
      <c r="F16" s="87">
        <f>Table81012131415161718[[#This Row],[Total US$ ]]*$F$1</f>
        <v>148731583</v>
      </c>
      <c r="G16" s="85" t="s">
        <v>601</v>
      </c>
      <c r="H16" s="83"/>
      <c r="I16" s="109" t="s">
        <v>338</v>
      </c>
      <c r="J16" s="82" t="s">
        <v>481</v>
      </c>
      <c r="K16" s="111">
        <v>44501</v>
      </c>
      <c r="L16" s="111">
        <v>46356</v>
      </c>
    </row>
    <row r="17" spans="1:12" ht="176" x14ac:dyDescent="0.2">
      <c r="A17" s="85" t="s">
        <v>291</v>
      </c>
      <c r="B17" s="85" t="s">
        <v>126</v>
      </c>
      <c r="C17" s="82"/>
      <c r="D17" s="101" t="s">
        <v>388</v>
      </c>
      <c r="E17" s="88">
        <v>974746</v>
      </c>
      <c r="F17" s="87">
        <f>Table81012131415161718[[#This Row],[Total US$ ]]*$F$1</f>
        <v>16619419.300000001</v>
      </c>
      <c r="G17" s="85" t="s">
        <v>601</v>
      </c>
      <c r="H17" s="83"/>
      <c r="I17" s="109" t="s">
        <v>329</v>
      </c>
      <c r="J17" s="82" t="s">
        <v>482</v>
      </c>
      <c r="K17" s="111">
        <v>44743</v>
      </c>
      <c r="L17" s="111">
        <v>44957</v>
      </c>
    </row>
    <row r="18" spans="1:12" ht="144" x14ac:dyDescent="0.2">
      <c r="A18" s="85" t="s">
        <v>292</v>
      </c>
      <c r="B18" s="85" t="s">
        <v>125</v>
      </c>
      <c r="C18" s="82" t="s">
        <v>384</v>
      </c>
      <c r="D18" s="101" t="s">
        <v>11</v>
      </c>
      <c r="E18" s="88">
        <v>1025254</v>
      </c>
      <c r="F18" s="87">
        <f>Table81012131415161718[[#This Row],[Total US$ ]]*$F$1</f>
        <v>17480580.699999999</v>
      </c>
      <c r="G18" s="85" t="s">
        <v>601</v>
      </c>
      <c r="H18" s="83"/>
      <c r="I18" s="109" t="s">
        <v>338</v>
      </c>
      <c r="J18" s="82" t="s">
        <v>483</v>
      </c>
      <c r="K18" s="111">
        <v>44501</v>
      </c>
      <c r="L18" s="111">
        <v>46356</v>
      </c>
    </row>
    <row r="19" spans="1:12" s="39" customFormat="1" ht="32" x14ac:dyDescent="0.2">
      <c r="A19" s="85" t="s">
        <v>293</v>
      </c>
      <c r="B19" s="85" t="s">
        <v>129</v>
      </c>
      <c r="C19" s="82" t="s">
        <v>26</v>
      </c>
      <c r="D19" s="101" t="s">
        <v>11</v>
      </c>
      <c r="E19" s="88">
        <v>4000000</v>
      </c>
      <c r="F19" s="87">
        <f>Table81012131415161718[[#This Row],[Total US$ ]]*$F$1</f>
        <v>68200000</v>
      </c>
      <c r="G19" s="85" t="s">
        <v>601</v>
      </c>
      <c r="H19" s="83" t="s">
        <v>565</v>
      </c>
      <c r="I19" s="109" t="s">
        <v>329</v>
      </c>
      <c r="J19" s="118" t="s">
        <v>484</v>
      </c>
      <c r="K19" s="111">
        <v>44928</v>
      </c>
      <c r="L19" s="111"/>
    </row>
    <row r="20" spans="1:12" ht="32" x14ac:dyDescent="0.2">
      <c r="A20" s="85" t="s">
        <v>294</v>
      </c>
      <c r="B20" s="85" t="s">
        <v>96</v>
      </c>
      <c r="C20" s="82" t="s">
        <v>32</v>
      </c>
      <c r="D20" s="101" t="s">
        <v>34</v>
      </c>
      <c r="E20" s="88">
        <v>100000</v>
      </c>
      <c r="F20" s="87">
        <f>Table81012131415161718[[#This Row],[Total US$ ]]*$F$1</f>
        <v>1705000</v>
      </c>
      <c r="G20" s="85" t="s">
        <v>601</v>
      </c>
      <c r="H20" s="83" t="s">
        <v>566</v>
      </c>
      <c r="I20" s="109" t="s">
        <v>329</v>
      </c>
      <c r="J20" s="117" t="s">
        <v>33</v>
      </c>
      <c r="K20" s="111">
        <v>44562</v>
      </c>
      <c r="L20" s="111">
        <v>44926</v>
      </c>
    </row>
    <row r="21" spans="1:12" ht="32" x14ac:dyDescent="0.2">
      <c r="A21" s="85" t="s">
        <v>295</v>
      </c>
      <c r="B21" s="85" t="s">
        <v>126</v>
      </c>
      <c r="C21" s="82" t="s">
        <v>135</v>
      </c>
      <c r="D21" s="101" t="s">
        <v>46</v>
      </c>
      <c r="E21" s="88">
        <v>51420</v>
      </c>
      <c r="F21" s="87">
        <f>Table81012131415161718[[#This Row],[Total US$ ]]*$F$1</f>
        <v>876711</v>
      </c>
      <c r="G21" s="85" t="s">
        <v>601</v>
      </c>
      <c r="H21" s="83" t="s">
        <v>567</v>
      </c>
      <c r="I21" s="109" t="s">
        <v>329</v>
      </c>
      <c r="J21" s="117" t="s">
        <v>385</v>
      </c>
      <c r="K21" s="112">
        <v>45019</v>
      </c>
      <c r="L21" s="112">
        <v>45380</v>
      </c>
    </row>
    <row r="22" spans="1:12" ht="32" x14ac:dyDescent="0.2">
      <c r="A22" s="85" t="s">
        <v>296</v>
      </c>
      <c r="B22" s="85" t="s">
        <v>128</v>
      </c>
      <c r="C22" s="82" t="s">
        <v>51</v>
      </c>
      <c r="D22" s="102" t="s">
        <v>55</v>
      </c>
      <c r="E22" s="88">
        <v>500000</v>
      </c>
      <c r="F22" s="87">
        <f>Table81012131415161718[[#This Row],[Total US$ ]]*$F$1</f>
        <v>8525000</v>
      </c>
      <c r="G22" s="85" t="s">
        <v>601</v>
      </c>
      <c r="H22" s="83" t="s">
        <v>568</v>
      </c>
      <c r="I22" s="109" t="s">
        <v>329</v>
      </c>
      <c r="J22" s="117" t="s">
        <v>386</v>
      </c>
      <c r="K22" s="111">
        <v>44562</v>
      </c>
      <c r="L22" s="111">
        <v>46022</v>
      </c>
    </row>
    <row r="23" spans="1:12" ht="32" x14ac:dyDescent="0.2">
      <c r="A23" s="85" t="s">
        <v>297</v>
      </c>
      <c r="B23" s="85" t="s">
        <v>125</v>
      </c>
      <c r="C23" s="82" t="s">
        <v>15</v>
      </c>
      <c r="D23" s="102" t="s">
        <v>380</v>
      </c>
      <c r="E23" s="86">
        <v>580000</v>
      </c>
      <c r="F23" s="87">
        <f>Table81012131415161718[[#This Row],[Total US$ ]]*$F$1</f>
        <v>9889000</v>
      </c>
      <c r="G23" s="85" t="s">
        <v>601</v>
      </c>
      <c r="H23" s="83"/>
      <c r="I23" s="109" t="s">
        <v>329</v>
      </c>
      <c r="J23" s="82" t="s">
        <v>485</v>
      </c>
      <c r="K23" s="112">
        <v>44958</v>
      </c>
      <c r="L23" s="112">
        <v>45169</v>
      </c>
    </row>
    <row r="24" spans="1:12" ht="64" x14ac:dyDescent="0.2">
      <c r="A24" s="85" t="s">
        <v>298</v>
      </c>
      <c r="B24" s="85" t="s">
        <v>125</v>
      </c>
      <c r="C24" s="82" t="s">
        <v>7</v>
      </c>
      <c r="D24" s="102" t="s">
        <v>8</v>
      </c>
      <c r="E24" s="86">
        <v>117637</v>
      </c>
      <c r="F24" s="87">
        <f>Table81012131415161718[[#This Row],[Total US$ ]]*$F$1</f>
        <v>2005710.85</v>
      </c>
      <c r="G24" s="85" t="s">
        <v>601</v>
      </c>
      <c r="H24" s="107" t="s">
        <v>390</v>
      </c>
      <c r="I24" s="109" t="s">
        <v>329</v>
      </c>
      <c r="J24" s="82" t="s">
        <v>486</v>
      </c>
      <c r="K24" s="111">
        <v>45019</v>
      </c>
      <c r="L24" s="111">
        <v>45565</v>
      </c>
    </row>
    <row r="25" spans="1:12" ht="64" x14ac:dyDescent="0.2">
      <c r="A25" s="85" t="s">
        <v>299</v>
      </c>
      <c r="B25" s="85" t="s">
        <v>125</v>
      </c>
      <c r="C25" s="82" t="s">
        <v>122</v>
      </c>
      <c r="D25" s="102" t="s">
        <v>381</v>
      </c>
      <c r="E25" s="86">
        <v>544291</v>
      </c>
      <c r="F25" s="87">
        <f>Table81012131415161718[[#This Row],[Total US$ ]]*$F$1</f>
        <v>9280161.5500000007</v>
      </c>
      <c r="G25" s="85" t="s">
        <v>601</v>
      </c>
      <c r="H25" s="83"/>
      <c r="I25" s="109" t="s">
        <v>329</v>
      </c>
      <c r="J25" s="82" t="s">
        <v>487</v>
      </c>
      <c r="K25" s="111">
        <v>44501</v>
      </c>
      <c r="L25" s="111">
        <v>45380</v>
      </c>
    </row>
    <row r="26" spans="1:12" ht="64" x14ac:dyDescent="0.2">
      <c r="A26" s="85" t="s">
        <v>300</v>
      </c>
      <c r="B26" s="85" t="s">
        <v>125</v>
      </c>
      <c r="C26" s="82" t="s">
        <v>10</v>
      </c>
      <c r="D26" s="102" t="s">
        <v>8</v>
      </c>
      <c r="E26" s="88">
        <v>82331</v>
      </c>
      <c r="F26" s="87">
        <f>Table81012131415161718[[#This Row],[Total US$ ]]*$F$1</f>
        <v>1403743.55</v>
      </c>
      <c r="G26" s="85" t="s">
        <v>601</v>
      </c>
      <c r="H26" s="96"/>
      <c r="I26" s="109" t="s">
        <v>329</v>
      </c>
      <c r="J26" s="82" t="s">
        <v>488</v>
      </c>
      <c r="K26" s="111">
        <v>44501</v>
      </c>
      <c r="L26" s="111">
        <v>45744</v>
      </c>
    </row>
    <row r="27" spans="1:12" ht="32" x14ac:dyDescent="0.2">
      <c r="A27" s="85" t="s">
        <v>301</v>
      </c>
      <c r="B27" s="85" t="s">
        <v>125</v>
      </c>
      <c r="C27" s="82" t="s">
        <v>377</v>
      </c>
      <c r="D27" s="102" t="s">
        <v>8</v>
      </c>
      <c r="E27" s="88"/>
      <c r="F27" s="87">
        <f>Table81012131415161718[[#This Row],[Total US$ ]]*$F$1</f>
        <v>0</v>
      </c>
      <c r="G27" s="85" t="s">
        <v>601</v>
      </c>
      <c r="H27" s="96"/>
      <c r="I27" s="109" t="s">
        <v>329</v>
      </c>
      <c r="J27" s="82" t="s">
        <v>489</v>
      </c>
      <c r="K27" s="111">
        <v>45019</v>
      </c>
      <c r="L27" s="111">
        <v>45138</v>
      </c>
    </row>
    <row r="28" spans="1:12" ht="80" x14ac:dyDescent="0.2">
      <c r="A28" s="85" t="s">
        <v>302</v>
      </c>
      <c r="B28" s="85" t="s">
        <v>96</v>
      </c>
      <c r="C28" s="82" t="s">
        <v>22</v>
      </c>
      <c r="D28" s="102" t="s">
        <v>8</v>
      </c>
      <c r="E28" s="86">
        <v>289656</v>
      </c>
      <c r="F28" s="87">
        <f>Table81012131415161718[[#This Row],[Total US$ ]]*$F$1</f>
        <v>4938634.8</v>
      </c>
      <c r="G28" s="85" t="s">
        <v>601</v>
      </c>
      <c r="H28" s="107" t="s">
        <v>391</v>
      </c>
      <c r="I28" s="109" t="s">
        <v>329</v>
      </c>
      <c r="J28" s="82" t="s">
        <v>490</v>
      </c>
      <c r="K28" s="111">
        <v>44743</v>
      </c>
      <c r="L28" s="111">
        <v>45380</v>
      </c>
    </row>
    <row r="29" spans="1:12" ht="32" x14ac:dyDescent="0.2">
      <c r="A29" s="85" t="s">
        <v>303</v>
      </c>
      <c r="B29" s="85" t="s">
        <v>96</v>
      </c>
      <c r="C29" s="82" t="s">
        <v>30</v>
      </c>
      <c r="D29" s="102" t="s">
        <v>8</v>
      </c>
      <c r="E29" s="86">
        <v>38718</v>
      </c>
      <c r="F29" s="87">
        <f>Table81012131415161718[[#This Row],[Total US$ ]]*$F$1</f>
        <v>660141.9</v>
      </c>
      <c r="G29" s="85" t="s">
        <v>601</v>
      </c>
      <c r="H29" s="107" t="s">
        <v>96</v>
      </c>
      <c r="I29" s="109" t="s">
        <v>329</v>
      </c>
      <c r="J29" s="82" t="s">
        <v>491</v>
      </c>
      <c r="K29" s="111">
        <v>44986</v>
      </c>
      <c r="L29" s="111">
        <v>45381</v>
      </c>
    </row>
    <row r="30" spans="1:12" ht="80" x14ac:dyDescent="0.2">
      <c r="A30" s="85" t="s">
        <v>304</v>
      </c>
      <c r="B30" s="85" t="s">
        <v>96</v>
      </c>
      <c r="C30" s="82" t="s">
        <v>31</v>
      </c>
      <c r="D30" s="102" t="s">
        <v>8</v>
      </c>
      <c r="E30" s="86">
        <v>579075</v>
      </c>
      <c r="F30" s="87">
        <f>Table81012131415161718[[#This Row],[Total US$ ]]*$F$1</f>
        <v>9873228.75</v>
      </c>
      <c r="G30" s="85" t="s">
        <v>601</v>
      </c>
      <c r="H30" s="107" t="s">
        <v>392</v>
      </c>
      <c r="I30" s="109" t="s">
        <v>329</v>
      </c>
      <c r="J30" s="82" t="s">
        <v>492</v>
      </c>
      <c r="K30" s="111">
        <v>44501</v>
      </c>
      <c r="L30" s="111">
        <v>45380</v>
      </c>
    </row>
    <row r="31" spans="1:12" ht="176" x14ac:dyDescent="0.2">
      <c r="A31" s="85" t="s">
        <v>305</v>
      </c>
      <c r="B31" s="85" t="s">
        <v>96</v>
      </c>
      <c r="C31" s="82" t="s">
        <v>36</v>
      </c>
      <c r="D31" s="102" t="s">
        <v>8</v>
      </c>
      <c r="E31" s="86">
        <v>1746097</v>
      </c>
      <c r="F31" s="87">
        <f>Table81012131415161718[[#This Row],[Total US$ ]]*$F$1</f>
        <v>29770953.850000001</v>
      </c>
      <c r="G31" s="85" t="s">
        <v>601</v>
      </c>
      <c r="H31" s="83"/>
      <c r="I31" s="109" t="s">
        <v>329</v>
      </c>
      <c r="J31" s="82" t="s">
        <v>493</v>
      </c>
      <c r="K31" s="111">
        <v>44501</v>
      </c>
      <c r="L31" s="111">
        <v>45380</v>
      </c>
    </row>
    <row r="32" spans="1:12" ht="112" x14ac:dyDescent="0.2">
      <c r="A32" s="85" t="s">
        <v>306</v>
      </c>
      <c r="B32" s="85" t="s">
        <v>96</v>
      </c>
      <c r="C32" s="82" t="s">
        <v>36</v>
      </c>
      <c r="D32" s="102" t="s">
        <v>8</v>
      </c>
      <c r="E32" s="86">
        <v>227368</v>
      </c>
      <c r="F32" s="87">
        <f>Table81012131415161718[[#This Row],[Total US$ ]]*$F$1</f>
        <v>3876624.4000000004</v>
      </c>
      <c r="G32" s="85" t="s">
        <v>601</v>
      </c>
      <c r="H32" s="107" t="s">
        <v>42</v>
      </c>
      <c r="I32" s="109" t="s">
        <v>329</v>
      </c>
      <c r="J32" s="82" t="s">
        <v>494</v>
      </c>
      <c r="K32" s="111">
        <v>44501</v>
      </c>
      <c r="L32" s="111">
        <v>45380</v>
      </c>
    </row>
    <row r="33" spans="1:13" ht="32" x14ac:dyDescent="0.2">
      <c r="A33" s="85" t="s">
        <v>307</v>
      </c>
      <c r="B33" s="85" t="s">
        <v>96</v>
      </c>
      <c r="C33" s="82" t="s">
        <v>39</v>
      </c>
      <c r="D33" s="102" t="s">
        <v>382</v>
      </c>
      <c r="E33" s="86">
        <v>9219</v>
      </c>
      <c r="F33" s="87">
        <f>Table81012131415161718[[#This Row],[Total US$ ]]*$F$1</f>
        <v>157183.95000000001</v>
      </c>
      <c r="G33" s="85" t="s">
        <v>601</v>
      </c>
      <c r="H33" s="107" t="s">
        <v>96</v>
      </c>
      <c r="I33" s="109" t="s">
        <v>329</v>
      </c>
      <c r="J33" s="117" t="s">
        <v>40</v>
      </c>
      <c r="K33" s="111">
        <v>44958</v>
      </c>
      <c r="L33" s="111">
        <v>45380</v>
      </c>
    </row>
    <row r="34" spans="1:13" ht="32" x14ac:dyDescent="0.2">
      <c r="A34" s="85" t="s">
        <v>308</v>
      </c>
      <c r="B34" s="85" t="s">
        <v>96</v>
      </c>
      <c r="C34" s="82" t="s">
        <v>375</v>
      </c>
      <c r="D34" s="102" t="s">
        <v>8</v>
      </c>
      <c r="E34" s="86">
        <v>210699</v>
      </c>
      <c r="F34" s="87">
        <f>Table81012131415161718[[#This Row],[Total US$ ]]*$F$1</f>
        <v>3592417.95</v>
      </c>
      <c r="G34" s="85" t="s">
        <v>601</v>
      </c>
      <c r="H34" s="107" t="s">
        <v>96</v>
      </c>
      <c r="I34" s="109" t="s">
        <v>329</v>
      </c>
      <c r="J34" s="82" t="s">
        <v>495</v>
      </c>
      <c r="K34" s="111">
        <v>44837</v>
      </c>
      <c r="L34" s="111">
        <v>45016</v>
      </c>
    </row>
    <row r="35" spans="1:13" ht="32" x14ac:dyDescent="0.2">
      <c r="A35" s="85" t="s">
        <v>309</v>
      </c>
      <c r="B35" s="85" t="s">
        <v>128</v>
      </c>
      <c r="C35" s="82" t="s">
        <v>49</v>
      </c>
      <c r="D35" s="102" t="s">
        <v>8</v>
      </c>
      <c r="E35" s="88">
        <v>449743</v>
      </c>
      <c r="F35" s="87">
        <f>Table81012131415161718[[#This Row],[Total US$ ]]*$F$1</f>
        <v>7668118.1500000004</v>
      </c>
      <c r="G35" s="85" t="s">
        <v>601</v>
      </c>
      <c r="H35" s="108" t="s">
        <v>103</v>
      </c>
      <c r="I35" s="109" t="s">
        <v>329</v>
      </c>
      <c r="J35" s="82" t="s">
        <v>496</v>
      </c>
      <c r="K35" s="111">
        <v>44621</v>
      </c>
      <c r="L35" s="111">
        <v>45412</v>
      </c>
    </row>
    <row r="36" spans="1:13" ht="32" x14ac:dyDescent="0.2">
      <c r="A36" s="85" t="s">
        <v>310</v>
      </c>
      <c r="B36" s="85" t="s">
        <v>128</v>
      </c>
      <c r="C36" s="81" t="s">
        <v>369</v>
      </c>
      <c r="D36" s="102" t="s">
        <v>8</v>
      </c>
      <c r="E36" s="86">
        <v>1617041</v>
      </c>
      <c r="F36" s="87">
        <f>Table81012131415161718[[#This Row],[Total US$ ]]*$F$1</f>
        <v>27570549.050000001</v>
      </c>
      <c r="G36" s="85" t="s">
        <v>601</v>
      </c>
      <c r="H36" s="83"/>
      <c r="I36" s="109" t="s">
        <v>329</v>
      </c>
      <c r="J36" s="82" t="s">
        <v>497</v>
      </c>
      <c r="K36" s="111">
        <v>44621</v>
      </c>
      <c r="L36" s="111">
        <v>45412</v>
      </c>
    </row>
    <row r="37" spans="1:13" ht="128" x14ac:dyDescent="0.2">
      <c r="A37" s="85" t="s">
        <v>311</v>
      </c>
      <c r="B37" s="85" t="s">
        <v>96</v>
      </c>
      <c r="C37" s="81" t="s">
        <v>371</v>
      </c>
      <c r="D37" s="81" t="s">
        <v>8</v>
      </c>
      <c r="E37" s="86">
        <v>286850</v>
      </c>
      <c r="F37" s="87">
        <f>Table81012131415161718[[#This Row],[Total US$ ]]*$F$1</f>
        <v>4890792.5</v>
      </c>
      <c r="G37" s="85" t="s">
        <v>601</v>
      </c>
      <c r="H37" s="83"/>
      <c r="I37" s="109" t="s">
        <v>329</v>
      </c>
      <c r="J37" s="82" t="s">
        <v>498</v>
      </c>
      <c r="K37" s="111">
        <v>44986</v>
      </c>
      <c r="L37" s="111">
        <v>45380</v>
      </c>
    </row>
    <row r="38" spans="1:13" ht="192" x14ac:dyDescent="0.2">
      <c r="A38" s="85" t="s">
        <v>312</v>
      </c>
      <c r="B38" s="85" t="s">
        <v>125</v>
      </c>
      <c r="C38" s="81" t="s">
        <v>122</v>
      </c>
      <c r="D38" s="81" t="s">
        <v>383</v>
      </c>
      <c r="E38" s="86">
        <v>550000</v>
      </c>
      <c r="F38" s="87">
        <f>Table81012131415161718[[#This Row],[Total US$ ]]*$F$1</f>
        <v>9377500</v>
      </c>
      <c r="G38" s="85" t="s">
        <v>601</v>
      </c>
      <c r="H38" s="83" t="s">
        <v>569</v>
      </c>
      <c r="I38" s="109" t="s">
        <v>329</v>
      </c>
      <c r="J38" s="82" t="s">
        <v>499</v>
      </c>
      <c r="K38" s="111">
        <v>44562</v>
      </c>
      <c r="L38" s="111">
        <v>45657</v>
      </c>
    </row>
    <row r="39" spans="1:13" x14ac:dyDescent="0.2">
      <c r="B39" s="6"/>
      <c r="C39" s="14"/>
      <c r="D39" s="14"/>
      <c r="E39" s="70">
        <f>SUBTOTAL(109,Table81012131415161718[Total US$ ])</f>
        <v>55280145</v>
      </c>
      <c r="F39" s="90">
        <f>SUBTOTAL(109,Table81012131415161718[Total ZAR])</f>
        <v>942526472.24999988</v>
      </c>
      <c r="G39" s="6"/>
      <c r="H39" s="17"/>
      <c r="I39" s="58"/>
      <c r="J39" s="17"/>
      <c r="K39" s="18"/>
      <c r="L39" s="18"/>
    </row>
    <row r="40" spans="1:13" x14ac:dyDescent="0.2">
      <c r="A40" s="35"/>
      <c r="B40" s="6"/>
      <c r="C40" s="19"/>
      <c r="D40" s="14"/>
      <c r="E40" s="32"/>
      <c r="F40" s="31"/>
      <c r="G40" s="6"/>
      <c r="H40" s="21"/>
      <c r="I40" s="59"/>
      <c r="J40" s="19"/>
      <c r="K40" s="22"/>
      <c r="L40" s="22"/>
    </row>
    <row r="41" spans="1:13" ht="26" customHeight="1" x14ac:dyDescent="0.2">
      <c r="A41" s="130" t="s">
        <v>589</v>
      </c>
      <c r="B41" s="130"/>
      <c r="C41" s="130"/>
      <c r="D41" s="130"/>
      <c r="E41" s="130"/>
      <c r="F41" s="130"/>
      <c r="G41" s="130"/>
      <c r="H41" s="130"/>
      <c r="I41" s="130"/>
      <c r="J41" s="130"/>
      <c r="K41" s="130"/>
      <c r="L41" s="130"/>
      <c r="M41" s="119"/>
    </row>
    <row r="42" spans="1:13" x14ac:dyDescent="0.2">
      <c r="B42" s="1"/>
      <c r="F42" s="1"/>
      <c r="G42" s="1"/>
      <c r="H42" s="8"/>
      <c r="I42" s="1"/>
      <c r="J42" s="3"/>
      <c r="L42" s="18"/>
      <c r="M42" s="15"/>
    </row>
    <row r="43" spans="1:13" x14ac:dyDescent="0.2">
      <c r="A43" s="125" t="s">
        <v>590</v>
      </c>
      <c r="B43" s="125"/>
      <c r="C43" s="125"/>
      <c r="D43" s="125"/>
      <c r="E43" s="125"/>
      <c r="F43" s="125"/>
      <c r="G43" s="125"/>
      <c r="H43" s="125"/>
      <c r="I43" s="125"/>
      <c r="J43" s="125"/>
      <c r="K43" s="125"/>
      <c r="L43" s="15"/>
      <c r="M43" s="15"/>
    </row>
    <row r="44" spans="1:13" x14ac:dyDescent="0.2">
      <c r="A44" s="35"/>
      <c r="B44" s="6"/>
      <c r="C44" s="19"/>
      <c r="D44" s="14"/>
      <c r="E44" s="32"/>
      <c r="F44" s="31"/>
      <c r="G44" s="6"/>
      <c r="H44" s="21"/>
      <c r="I44" s="59"/>
      <c r="J44" s="19"/>
      <c r="K44" s="22"/>
      <c r="L44" s="22"/>
    </row>
    <row r="45" spans="1:13" x14ac:dyDescent="0.2">
      <c r="A45" s="35"/>
      <c r="B45" s="6"/>
      <c r="C45" s="19"/>
      <c r="D45" s="14"/>
      <c r="E45" s="32"/>
      <c r="F45" s="31"/>
      <c r="G45" s="6"/>
      <c r="H45" s="21"/>
      <c r="I45" s="59"/>
      <c r="J45" s="19"/>
      <c r="K45" s="22"/>
      <c r="L45" s="22"/>
    </row>
    <row r="46" spans="1:13" x14ac:dyDescent="0.2">
      <c r="A46" s="35"/>
      <c r="B46" s="6"/>
      <c r="C46" s="19"/>
      <c r="D46" s="14"/>
      <c r="E46" s="32"/>
      <c r="F46" s="31"/>
      <c r="G46" s="6"/>
      <c r="H46" s="21"/>
      <c r="I46" s="59"/>
      <c r="J46" s="19"/>
      <c r="K46" s="22"/>
      <c r="L46" s="22"/>
    </row>
    <row r="47" spans="1:13" x14ac:dyDescent="0.2">
      <c r="A47" s="35"/>
      <c r="B47" s="6"/>
      <c r="C47" s="19"/>
      <c r="D47" s="14"/>
      <c r="E47" s="32"/>
      <c r="F47" s="31"/>
      <c r="G47" s="6"/>
      <c r="H47" s="21"/>
      <c r="I47" s="59"/>
      <c r="J47" s="19"/>
      <c r="K47" s="22"/>
      <c r="L47" s="22"/>
    </row>
    <row r="48" spans="1:13" x14ac:dyDescent="0.2">
      <c r="A48" s="35"/>
      <c r="B48" s="6"/>
      <c r="C48" s="19"/>
      <c r="D48" s="14"/>
      <c r="E48" s="32"/>
      <c r="F48" s="31"/>
      <c r="G48" s="6"/>
      <c r="H48" s="21"/>
      <c r="I48" s="59"/>
      <c r="J48" s="19"/>
      <c r="K48" s="22"/>
      <c r="L48" s="22"/>
    </row>
    <row r="49" spans="1:12" x14ac:dyDescent="0.2">
      <c r="A49" s="35"/>
      <c r="B49" s="6"/>
      <c r="C49" s="19"/>
      <c r="D49" s="14"/>
      <c r="E49" s="32"/>
      <c r="F49" s="31"/>
      <c r="G49" s="6"/>
      <c r="H49" s="21"/>
      <c r="I49" s="59"/>
      <c r="J49" s="19"/>
      <c r="K49" s="22"/>
      <c r="L49" s="22"/>
    </row>
    <row r="50" spans="1:12" x14ac:dyDescent="0.2">
      <c r="A50" s="35"/>
      <c r="B50" s="6"/>
      <c r="C50" s="19"/>
      <c r="D50" s="14"/>
      <c r="E50" s="32"/>
      <c r="F50" s="31"/>
      <c r="G50" s="6"/>
      <c r="H50" s="21"/>
      <c r="I50" s="59"/>
      <c r="J50" s="19"/>
      <c r="K50" s="22"/>
      <c r="L50" s="22"/>
    </row>
    <row r="51" spans="1:12" x14ac:dyDescent="0.2">
      <c r="A51" s="35"/>
      <c r="B51" s="6"/>
      <c r="C51" s="19"/>
      <c r="D51" s="14"/>
      <c r="E51" s="32"/>
      <c r="F51" s="31"/>
      <c r="G51" s="6"/>
      <c r="H51" s="21"/>
      <c r="I51" s="59"/>
      <c r="J51" s="19"/>
      <c r="K51" s="22"/>
      <c r="L51" s="22"/>
    </row>
    <row r="52" spans="1:12" x14ac:dyDescent="0.2">
      <c r="A52" s="35"/>
      <c r="B52" s="6"/>
      <c r="C52" s="19"/>
      <c r="D52" s="14"/>
      <c r="E52" s="32"/>
      <c r="F52" s="31"/>
      <c r="G52" s="6"/>
      <c r="H52" s="21"/>
      <c r="I52" s="59"/>
      <c r="J52" s="19"/>
      <c r="K52" s="22"/>
      <c r="L52" s="22"/>
    </row>
    <row r="53" spans="1:12" x14ac:dyDescent="0.2">
      <c r="A53" s="35"/>
      <c r="B53" s="6"/>
      <c r="C53" s="19"/>
      <c r="D53" s="14"/>
      <c r="E53" s="32"/>
      <c r="F53" s="31"/>
      <c r="G53" s="6"/>
      <c r="H53" s="21"/>
      <c r="I53" s="59"/>
      <c r="J53" s="19"/>
      <c r="K53" s="22"/>
      <c r="L53" s="22"/>
    </row>
    <row r="54" spans="1:12" x14ac:dyDescent="0.2">
      <c r="A54" s="35"/>
      <c r="B54" s="6"/>
      <c r="C54" s="19"/>
      <c r="D54" s="14"/>
      <c r="E54" s="32"/>
      <c r="F54" s="31"/>
      <c r="G54" s="6"/>
      <c r="H54" s="21"/>
      <c r="I54" s="59"/>
      <c r="J54" s="19"/>
      <c r="K54" s="22"/>
      <c r="L54" s="22"/>
    </row>
    <row r="55" spans="1:12" x14ac:dyDescent="0.2">
      <c r="A55" s="35"/>
      <c r="B55" s="6"/>
      <c r="C55" s="19"/>
      <c r="D55" s="14"/>
      <c r="E55" s="32"/>
      <c r="F55" s="31"/>
      <c r="G55" s="6"/>
      <c r="H55" s="21"/>
      <c r="I55" s="59"/>
      <c r="J55" s="19"/>
      <c r="K55" s="22"/>
      <c r="L55" s="22"/>
    </row>
    <row r="56" spans="1:12" x14ac:dyDescent="0.2">
      <c r="A56" s="35"/>
      <c r="B56" s="6"/>
      <c r="C56" s="19"/>
      <c r="D56" s="14"/>
      <c r="E56" s="32"/>
      <c r="F56" s="31"/>
      <c r="G56" s="6"/>
      <c r="H56" s="21"/>
      <c r="I56" s="59"/>
      <c r="J56" s="19"/>
      <c r="K56" s="22"/>
      <c r="L56" s="22"/>
    </row>
    <row r="57" spans="1:12" x14ac:dyDescent="0.2">
      <c r="A57" s="35"/>
      <c r="B57" s="6"/>
      <c r="C57" s="19"/>
      <c r="D57" s="14"/>
      <c r="E57" s="32"/>
      <c r="F57" s="31"/>
      <c r="G57" s="6"/>
      <c r="H57" s="21"/>
      <c r="I57" s="59"/>
      <c r="J57" s="19"/>
      <c r="K57" s="22"/>
      <c r="L57" s="22"/>
    </row>
    <row r="58" spans="1:12" x14ac:dyDescent="0.2">
      <c r="A58" s="35"/>
      <c r="B58" s="6"/>
      <c r="C58" s="19"/>
      <c r="D58" s="14"/>
      <c r="E58" s="32"/>
      <c r="F58" s="31"/>
      <c r="G58" s="6"/>
      <c r="H58" s="21"/>
      <c r="I58" s="59"/>
      <c r="J58" s="19"/>
      <c r="K58" s="22"/>
      <c r="L58" s="22"/>
    </row>
    <row r="59" spans="1:12" x14ac:dyDescent="0.2">
      <c r="A59" s="35"/>
      <c r="B59" s="6"/>
      <c r="C59" s="19"/>
      <c r="D59" s="14"/>
      <c r="E59" s="32"/>
      <c r="F59" s="31"/>
      <c r="G59" s="6"/>
      <c r="H59" s="21"/>
      <c r="I59" s="59"/>
      <c r="J59" s="19"/>
      <c r="K59" s="22"/>
      <c r="L59" s="22"/>
    </row>
    <row r="60" spans="1:12" x14ac:dyDescent="0.2">
      <c r="A60" s="35"/>
      <c r="B60" s="6"/>
      <c r="C60" s="19"/>
      <c r="D60" s="14"/>
      <c r="E60" s="32"/>
      <c r="F60" s="31"/>
      <c r="G60" s="6"/>
      <c r="H60" s="21"/>
      <c r="I60" s="59"/>
      <c r="J60" s="19"/>
      <c r="K60" s="22"/>
      <c r="L60" s="22"/>
    </row>
    <row r="61" spans="1:12" x14ac:dyDescent="0.2">
      <c r="A61" s="35"/>
      <c r="B61" s="6"/>
      <c r="C61" s="19"/>
      <c r="D61" s="14"/>
      <c r="E61" s="32"/>
      <c r="F61" s="31"/>
      <c r="G61" s="6"/>
      <c r="H61" s="21"/>
      <c r="I61" s="59"/>
      <c r="J61" s="19"/>
      <c r="K61" s="22"/>
      <c r="L61" s="22"/>
    </row>
    <row r="62" spans="1:12" x14ac:dyDescent="0.2">
      <c r="A62" s="35"/>
      <c r="B62" s="6"/>
      <c r="C62" s="19"/>
      <c r="D62" s="14"/>
      <c r="E62" s="32"/>
      <c r="F62" s="31"/>
      <c r="G62" s="6"/>
      <c r="H62" s="21"/>
      <c r="I62" s="59"/>
      <c r="J62" s="19"/>
      <c r="K62" s="22"/>
      <c r="L62" s="22"/>
    </row>
    <row r="63" spans="1:12" x14ac:dyDescent="0.2">
      <c r="A63" s="35"/>
      <c r="B63" s="6"/>
      <c r="C63" s="19"/>
      <c r="D63" s="14"/>
      <c r="E63" s="32"/>
      <c r="F63" s="31"/>
      <c r="G63" s="6"/>
      <c r="H63" s="21"/>
      <c r="I63" s="59"/>
      <c r="J63" s="19"/>
      <c r="K63" s="22"/>
      <c r="L63" s="22"/>
    </row>
    <row r="64" spans="1:12" x14ac:dyDescent="0.2">
      <c r="A64" s="35"/>
      <c r="B64" s="6"/>
      <c r="C64" s="19"/>
      <c r="D64" s="14"/>
      <c r="E64" s="32"/>
      <c r="F64" s="31"/>
      <c r="G64" s="6"/>
      <c r="H64" s="21"/>
      <c r="I64" s="59"/>
      <c r="J64" s="19"/>
      <c r="K64" s="22"/>
      <c r="L64" s="22"/>
    </row>
    <row r="65" spans="1:12" x14ac:dyDescent="0.2">
      <c r="A65" s="35"/>
      <c r="B65" s="6"/>
      <c r="C65" s="19"/>
      <c r="D65" s="14"/>
      <c r="E65" s="32"/>
      <c r="F65" s="31"/>
      <c r="G65" s="6"/>
      <c r="H65" s="21"/>
      <c r="I65" s="59"/>
      <c r="J65" s="19"/>
      <c r="K65" s="22"/>
      <c r="L65" s="22"/>
    </row>
    <row r="66" spans="1:12" x14ac:dyDescent="0.2">
      <c r="A66" s="35"/>
      <c r="B66" s="6"/>
      <c r="C66" s="19"/>
      <c r="D66" s="14"/>
      <c r="E66" s="32"/>
      <c r="F66" s="31"/>
      <c r="G66" s="6"/>
      <c r="H66" s="21"/>
      <c r="I66" s="59"/>
      <c r="J66" s="19"/>
      <c r="K66" s="22"/>
      <c r="L66" s="22"/>
    </row>
    <row r="67" spans="1:12" x14ac:dyDescent="0.2">
      <c r="A67" s="35"/>
      <c r="B67" s="6"/>
      <c r="C67" s="19"/>
      <c r="D67" s="14"/>
      <c r="E67" s="32"/>
      <c r="F67" s="31"/>
      <c r="G67" s="6"/>
      <c r="H67" s="21"/>
      <c r="I67" s="59"/>
      <c r="J67" s="19"/>
      <c r="K67" s="22"/>
      <c r="L67" s="22"/>
    </row>
    <row r="68" spans="1:12" x14ac:dyDescent="0.2">
      <c r="A68" s="35"/>
      <c r="B68" s="6"/>
      <c r="C68" s="19"/>
      <c r="D68" s="14"/>
      <c r="E68" s="32"/>
      <c r="F68" s="31"/>
      <c r="G68" s="6"/>
      <c r="H68" s="21"/>
      <c r="I68" s="59"/>
      <c r="J68" s="19"/>
      <c r="K68" s="22"/>
      <c r="L68" s="22"/>
    </row>
    <row r="69" spans="1:12" x14ac:dyDescent="0.2">
      <c r="A69" s="35"/>
      <c r="B69" s="6"/>
      <c r="C69" s="19"/>
      <c r="D69" s="14"/>
      <c r="E69" s="32"/>
      <c r="F69" s="31"/>
      <c r="G69" s="6"/>
      <c r="H69" s="21"/>
      <c r="I69" s="59"/>
      <c r="J69" s="19"/>
      <c r="K69" s="22"/>
      <c r="L69" s="22"/>
    </row>
    <row r="70" spans="1:12" x14ac:dyDescent="0.2">
      <c r="A70" s="35"/>
      <c r="B70" s="6"/>
      <c r="C70" s="19"/>
      <c r="D70" s="14"/>
      <c r="E70" s="32"/>
      <c r="F70" s="31"/>
      <c r="G70" s="6"/>
      <c r="H70" s="21"/>
      <c r="I70" s="59"/>
      <c r="J70" s="19"/>
      <c r="K70" s="22"/>
      <c r="L70" s="22"/>
    </row>
    <row r="71" spans="1:12" x14ac:dyDescent="0.2">
      <c r="A71" s="35"/>
      <c r="B71" s="6"/>
      <c r="C71" s="19"/>
      <c r="D71" s="14"/>
      <c r="E71" s="32"/>
      <c r="F71" s="31"/>
      <c r="G71" s="6"/>
      <c r="H71" s="21"/>
      <c r="I71" s="59"/>
      <c r="J71" s="19"/>
      <c r="K71" s="22"/>
      <c r="L71" s="22"/>
    </row>
    <row r="72" spans="1:12" x14ac:dyDescent="0.2">
      <c r="A72" s="35"/>
      <c r="B72" s="6"/>
      <c r="C72" s="19"/>
      <c r="D72" s="14"/>
      <c r="E72" s="32"/>
      <c r="F72" s="31"/>
      <c r="G72" s="6"/>
      <c r="H72" s="21"/>
      <c r="I72" s="59"/>
      <c r="J72" s="19"/>
      <c r="K72" s="22"/>
      <c r="L72" s="22"/>
    </row>
    <row r="73" spans="1:12" x14ac:dyDescent="0.2">
      <c r="A73" s="35"/>
      <c r="B73" s="6"/>
      <c r="C73" s="19"/>
      <c r="D73" s="14"/>
      <c r="E73" s="32"/>
      <c r="F73" s="31"/>
      <c r="G73" s="6"/>
      <c r="H73" s="21"/>
      <c r="I73" s="59"/>
      <c r="J73" s="19"/>
      <c r="K73" s="22"/>
      <c r="L73" s="22"/>
    </row>
    <row r="74" spans="1:12" x14ac:dyDescent="0.2">
      <c r="A74" s="35"/>
      <c r="B74" s="6"/>
      <c r="C74" s="19"/>
      <c r="D74" s="14"/>
      <c r="E74" s="32"/>
      <c r="F74" s="31"/>
      <c r="G74" s="6"/>
      <c r="H74" s="21"/>
      <c r="I74" s="59"/>
      <c r="J74" s="19"/>
      <c r="K74" s="22"/>
      <c r="L74" s="22"/>
    </row>
    <row r="75" spans="1:12" x14ac:dyDescent="0.2">
      <c r="A75" s="35"/>
      <c r="B75" s="6"/>
      <c r="C75" s="19"/>
      <c r="D75" s="14"/>
      <c r="E75" s="32"/>
      <c r="F75" s="31"/>
      <c r="G75" s="6"/>
      <c r="H75" s="21"/>
      <c r="I75" s="59"/>
      <c r="J75" s="19"/>
      <c r="K75" s="22"/>
      <c r="L75" s="22"/>
    </row>
    <row r="76" spans="1:12" x14ac:dyDescent="0.2">
      <c r="A76" s="35"/>
      <c r="B76" s="6"/>
      <c r="C76" s="19"/>
      <c r="D76" s="14"/>
      <c r="E76" s="32"/>
      <c r="F76" s="31"/>
      <c r="G76" s="6"/>
      <c r="H76" s="21"/>
      <c r="I76" s="59"/>
      <c r="J76" s="19"/>
      <c r="K76" s="22"/>
      <c r="L76" s="22"/>
    </row>
    <row r="77" spans="1:12" x14ac:dyDescent="0.2">
      <c r="A77" s="35"/>
      <c r="B77" s="6"/>
      <c r="C77" s="19"/>
      <c r="D77" s="14"/>
      <c r="E77" s="32"/>
      <c r="F77" s="31"/>
      <c r="G77" s="6"/>
      <c r="H77" s="21"/>
      <c r="I77" s="59"/>
      <c r="J77" s="19"/>
      <c r="K77" s="22"/>
      <c r="L77" s="22"/>
    </row>
    <row r="78" spans="1:12" x14ac:dyDescent="0.2">
      <c r="A78" s="35"/>
      <c r="B78" s="6"/>
      <c r="C78" s="19"/>
      <c r="D78" s="14"/>
      <c r="E78" s="32"/>
      <c r="F78" s="31"/>
      <c r="G78" s="6"/>
      <c r="H78" s="21"/>
      <c r="I78" s="59"/>
      <c r="J78" s="19"/>
      <c r="K78" s="22"/>
      <c r="L78" s="22"/>
    </row>
    <row r="79" spans="1:12" x14ac:dyDescent="0.2">
      <c r="A79" s="35"/>
      <c r="B79" s="6"/>
      <c r="C79" s="19"/>
      <c r="D79" s="14"/>
      <c r="E79" s="32"/>
      <c r="F79" s="31"/>
      <c r="G79" s="6"/>
      <c r="H79" s="21"/>
      <c r="I79" s="59"/>
      <c r="J79" s="19"/>
      <c r="K79" s="22"/>
      <c r="L79" s="22"/>
    </row>
    <row r="80" spans="1:12" x14ac:dyDescent="0.2">
      <c r="A80" s="35"/>
      <c r="B80" s="6"/>
      <c r="C80" s="19"/>
      <c r="D80" s="14"/>
      <c r="E80" s="32"/>
      <c r="F80" s="31"/>
      <c r="G80" s="6"/>
      <c r="H80" s="21"/>
      <c r="I80" s="59"/>
      <c r="J80" s="19"/>
      <c r="K80" s="22"/>
      <c r="L80" s="22"/>
    </row>
    <row r="81" spans="1:12" x14ac:dyDescent="0.2">
      <c r="A81" s="35"/>
      <c r="B81" s="6"/>
      <c r="C81" s="19"/>
      <c r="D81" s="14"/>
      <c r="E81" s="32"/>
      <c r="F81" s="31"/>
      <c r="G81" s="6"/>
      <c r="H81" s="21"/>
      <c r="I81" s="59"/>
      <c r="J81" s="19"/>
      <c r="K81" s="22"/>
      <c r="L81" s="22"/>
    </row>
    <row r="82" spans="1:12" x14ac:dyDescent="0.2">
      <c r="A82" s="35"/>
      <c r="B82" s="6"/>
      <c r="C82" s="19"/>
      <c r="D82" s="14"/>
      <c r="E82" s="32"/>
      <c r="F82" s="31"/>
      <c r="G82" s="6"/>
      <c r="H82" s="21"/>
      <c r="I82" s="59"/>
      <c r="J82" s="19"/>
      <c r="K82" s="22"/>
      <c r="L82" s="22"/>
    </row>
    <row r="83" spans="1:12" x14ac:dyDescent="0.2">
      <c r="A83" s="35"/>
      <c r="B83" s="6"/>
      <c r="C83" s="19"/>
      <c r="D83" s="14"/>
      <c r="E83" s="32"/>
      <c r="F83" s="31"/>
      <c r="G83" s="6"/>
      <c r="H83" s="21"/>
      <c r="I83" s="59"/>
      <c r="J83" s="19"/>
      <c r="K83" s="22"/>
      <c r="L83" s="22"/>
    </row>
    <row r="84" spans="1:12" x14ac:dyDescent="0.2">
      <c r="A84" s="35"/>
      <c r="B84" s="6"/>
      <c r="C84" s="19"/>
      <c r="D84" s="14"/>
      <c r="E84" s="32"/>
      <c r="F84" s="31"/>
      <c r="G84" s="6"/>
      <c r="H84" s="21"/>
      <c r="I84" s="59"/>
      <c r="J84" s="19"/>
      <c r="K84" s="22"/>
      <c r="L84" s="22"/>
    </row>
    <row r="85" spans="1:12" x14ac:dyDescent="0.2">
      <c r="A85" s="35"/>
      <c r="B85" s="6"/>
      <c r="C85" s="19"/>
      <c r="D85" s="14"/>
      <c r="E85" s="32"/>
      <c r="F85" s="31"/>
      <c r="G85" s="6"/>
      <c r="H85" s="21"/>
      <c r="I85" s="59"/>
      <c r="J85" s="19"/>
      <c r="K85" s="22"/>
      <c r="L85" s="22"/>
    </row>
    <row r="86" spans="1:12" x14ac:dyDescent="0.2">
      <c r="A86" s="35"/>
      <c r="B86" s="6"/>
      <c r="C86" s="19"/>
      <c r="D86" s="14"/>
      <c r="E86" s="32"/>
      <c r="F86" s="31"/>
      <c r="G86" s="6"/>
      <c r="H86" s="21"/>
      <c r="I86" s="59"/>
      <c r="J86" s="19"/>
      <c r="K86" s="22"/>
      <c r="L86" s="22"/>
    </row>
    <row r="87" spans="1:12" x14ac:dyDescent="0.2">
      <c r="A87" s="35"/>
      <c r="B87" s="6"/>
      <c r="C87" s="19"/>
      <c r="D87" s="14"/>
      <c r="E87" s="32"/>
      <c r="F87" s="31"/>
      <c r="G87" s="6"/>
      <c r="H87" s="21"/>
      <c r="I87" s="59"/>
      <c r="J87" s="19"/>
      <c r="K87" s="22"/>
      <c r="L87" s="22"/>
    </row>
    <row r="88" spans="1:12" x14ac:dyDescent="0.2">
      <c r="A88" s="35"/>
      <c r="B88" s="6"/>
      <c r="C88" s="19"/>
      <c r="D88" s="14"/>
      <c r="E88" s="32"/>
      <c r="F88" s="31"/>
      <c r="G88" s="6"/>
      <c r="H88" s="21"/>
      <c r="I88" s="59"/>
      <c r="J88" s="19"/>
      <c r="K88" s="22"/>
      <c r="L88" s="22"/>
    </row>
    <row r="89" spans="1:12" x14ac:dyDescent="0.2">
      <c r="A89" s="35"/>
      <c r="B89" s="6"/>
      <c r="C89" s="19"/>
      <c r="D89" s="14"/>
      <c r="E89" s="32"/>
      <c r="F89" s="31"/>
      <c r="G89" s="6"/>
      <c r="H89" s="21"/>
      <c r="I89" s="59"/>
      <c r="J89" s="19"/>
      <c r="K89" s="22"/>
      <c r="L89" s="22"/>
    </row>
    <row r="90" spans="1:12" x14ac:dyDescent="0.2">
      <c r="A90" s="35"/>
      <c r="B90" s="6"/>
      <c r="C90" s="19"/>
      <c r="D90" s="14"/>
      <c r="E90" s="32"/>
      <c r="F90" s="31"/>
      <c r="G90" s="6"/>
      <c r="H90" s="21"/>
      <c r="I90" s="59"/>
      <c r="J90" s="19"/>
      <c r="K90" s="22"/>
      <c r="L90" s="22"/>
    </row>
    <row r="91" spans="1:12" x14ac:dyDescent="0.2">
      <c r="A91" s="35"/>
      <c r="B91" s="6"/>
      <c r="C91" s="19"/>
      <c r="D91" s="14"/>
      <c r="E91" s="32"/>
      <c r="F91" s="31"/>
      <c r="G91" s="6"/>
      <c r="H91" s="21"/>
      <c r="I91" s="59"/>
      <c r="J91" s="19"/>
      <c r="K91" s="22"/>
      <c r="L91" s="22"/>
    </row>
    <row r="92" spans="1:12" x14ac:dyDescent="0.2">
      <c r="A92" s="35"/>
      <c r="B92" s="6"/>
      <c r="C92" s="19"/>
      <c r="D92" s="14"/>
      <c r="E92" s="32"/>
      <c r="F92" s="31"/>
      <c r="G92" s="6"/>
      <c r="H92" s="21"/>
      <c r="I92" s="59"/>
      <c r="J92" s="19"/>
      <c r="K92" s="22"/>
      <c r="L92" s="22"/>
    </row>
    <row r="93" spans="1:12" x14ac:dyDescent="0.2">
      <c r="A93" s="35"/>
      <c r="B93" s="6"/>
      <c r="C93" s="19"/>
      <c r="D93" s="14"/>
      <c r="E93" s="32"/>
      <c r="F93" s="31"/>
      <c r="G93" s="6"/>
      <c r="H93" s="21"/>
      <c r="I93" s="59"/>
      <c r="J93" s="19"/>
      <c r="K93" s="22"/>
      <c r="L93" s="22"/>
    </row>
    <row r="94" spans="1:12" x14ac:dyDescent="0.2">
      <c r="A94" s="35"/>
      <c r="B94" s="6"/>
      <c r="C94" s="19"/>
      <c r="D94" s="14"/>
      <c r="E94" s="32"/>
      <c r="F94" s="31"/>
      <c r="G94" s="6"/>
      <c r="H94" s="21"/>
      <c r="I94" s="59"/>
      <c r="J94" s="19"/>
      <c r="K94" s="22"/>
      <c r="L94" s="22"/>
    </row>
    <row r="95" spans="1:12" x14ac:dyDescent="0.2">
      <c r="A95" s="35"/>
      <c r="B95" s="6"/>
      <c r="C95" s="19"/>
      <c r="D95" s="14"/>
      <c r="E95" s="32"/>
      <c r="F95" s="31"/>
      <c r="G95" s="6"/>
      <c r="H95" s="21"/>
      <c r="I95" s="59"/>
      <c r="J95" s="19"/>
      <c r="K95" s="22"/>
      <c r="L95" s="22"/>
    </row>
    <row r="96" spans="1:12" x14ac:dyDescent="0.2">
      <c r="A96" s="35"/>
      <c r="B96" s="6"/>
      <c r="C96" s="19"/>
      <c r="D96" s="14"/>
      <c r="E96" s="32"/>
      <c r="F96" s="31"/>
      <c r="G96" s="6"/>
      <c r="H96" s="21"/>
      <c r="I96" s="59"/>
      <c r="J96" s="19"/>
      <c r="K96" s="22"/>
      <c r="L96" s="22"/>
    </row>
    <row r="97" spans="1:12" x14ac:dyDescent="0.2">
      <c r="A97" s="35"/>
      <c r="B97" s="6"/>
      <c r="C97" s="19"/>
      <c r="D97" s="14"/>
      <c r="E97" s="32"/>
      <c r="F97" s="31"/>
      <c r="G97" s="6"/>
      <c r="H97" s="21"/>
      <c r="I97" s="59"/>
      <c r="J97" s="19"/>
      <c r="K97" s="22"/>
      <c r="L97" s="22"/>
    </row>
    <row r="98" spans="1:12" x14ac:dyDescent="0.2">
      <c r="A98" s="35"/>
      <c r="B98" s="6"/>
      <c r="C98" s="19"/>
      <c r="D98" s="14"/>
      <c r="E98" s="32"/>
      <c r="F98" s="31"/>
      <c r="G98" s="6"/>
      <c r="H98" s="21"/>
      <c r="I98" s="59"/>
      <c r="J98" s="19"/>
      <c r="K98" s="22"/>
      <c r="L98" s="22"/>
    </row>
    <row r="99" spans="1:12" x14ac:dyDescent="0.2">
      <c r="A99" s="35"/>
      <c r="B99" s="6"/>
      <c r="C99" s="19"/>
      <c r="D99" s="14"/>
      <c r="E99" s="32"/>
      <c r="F99" s="31"/>
      <c r="G99" s="6"/>
      <c r="H99" s="21"/>
      <c r="I99" s="59"/>
      <c r="J99" s="19"/>
      <c r="K99" s="22"/>
      <c r="L99" s="22"/>
    </row>
    <row r="100" spans="1:12" x14ac:dyDescent="0.2">
      <c r="A100" s="35"/>
      <c r="B100" s="6"/>
      <c r="C100" s="19"/>
      <c r="D100" s="14"/>
      <c r="E100" s="32"/>
      <c r="F100" s="31"/>
      <c r="G100" s="6"/>
      <c r="H100" s="21"/>
      <c r="I100" s="59"/>
      <c r="J100" s="19"/>
      <c r="K100" s="22"/>
      <c r="L100" s="22"/>
    </row>
    <row r="101" spans="1:12" x14ac:dyDescent="0.2">
      <c r="A101" s="35"/>
      <c r="B101" s="6"/>
      <c r="C101" s="19"/>
      <c r="D101" s="14"/>
      <c r="E101" s="32"/>
      <c r="F101" s="31"/>
      <c r="G101" s="6"/>
      <c r="H101" s="21"/>
      <c r="I101" s="59"/>
      <c r="J101" s="19"/>
      <c r="K101" s="22"/>
      <c r="L101" s="22"/>
    </row>
    <row r="102" spans="1:12" x14ac:dyDescent="0.2">
      <c r="A102" s="35"/>
      <c r="B102" s="6"/>
      <c r="C102" s="19"/>
      <c r="D102" s="14"/>
      <c r="E102" s="32"/>
      <c r="F102" s="31"/>
      <c r="G102" s="6"/>
      <c r="H102" s="21"/>
      <c r="I102" s="59"/>
      <c r="J102" s="19"/>
      <c r="K102" s="22"/>
      <c r="L102" s="22"/>
    </row>
    <row r="103" spans="1:12" x14ac:dyDescent="0.2">
      <c r="A103" s="35"/>
      <c r="B103" s="6"/>
      <c r="C103" s="19"/>
      <c r="D103" s="14"/>
      <c r="E103" s="32"/>
      <c r="F103" s="31"/>
      <c r="G103" s="6"/>
      <c r="H103" s="21"/>
      <c r="I103" s="59"/>
      <c r="J103" s="19"/>
      <c r="K103" s="22"/>
      <c r="L103" s="22"/>
    </row>
    <row r="104" spans="1:12" x14ac:dyDescent="0.2">
      <c r="A104" s="35"/>
      <c r="B104" s="6"/>
      <c r="C104" s="19"/>
      <c r="D104" s="14"/>
      <c r="E104" s="32"/>
      <c r="F104" s="31"/>
      <c r="G104" s="6"/>
      <c r="H104" s="21"/>
      <c r="I104" s="59"/>
      <c r="J104" s="19"/>
      <c r="K104" s="22"/>
      <c r="L104" s="22"/>
    </row>
    <row r="105" spans="1:12" x14ac:dyDescent="0.2">
      <c r="A105" s="35"/>
      <c r="B105" s="6"/>
      <c r="C105" s="19"/>
      <c r="D105" s="14"/>
      <c r="E105" s="32"/>
      <c r="F105" s="31"/>
      <c r="G105" s="6"/>
      <c r="H105" s="21"/>
      <c r="I105" s="59"/>
      <c r="J105" s="19"/>
      <c r="K105" s="22"/>
      <c r="L105" s="22"/>
    </row>
    <row r="106" spans="1:12" x14ac:dyDescent="0.2">
      <c r="A106" s="35"/>
      <c r="B106" s="6"/>
      <c r="C106" s="19"/>
      <c r="D106" s="14"/>
      <c r="E106" s="32"/>
      <c r="F106" s="31"/>
      <c r="G106" s="6"/>
      <c r="H106" s="21"/>
      <c r="I106" s="59"/>
      <c r="J106" s="19"/>
      <c r="K106" s="22"/>
      <c r="L106" s="22"/>
    </row>
    <row r="107" spans="1:12" x14ac:dyDescent="0.2">
      <c r="A107" s="35"/>
      <c r="B107" s="6"/>
      <c r="C107" s="19"/>
      <c r="D107" s="14"/>
      <c r="E107" s="32"/>
      <c r="F107" s="31"/>
      <c r="G107" s="6"/>
      <c r="H107" s="21"/>
      <c r="I107" s="59"/>
      <c r="J107" s="19"/>
      <c r="K107" s="22"/>
      <c r="L107" s="22"/>
    </row>
    <row r="108" spans="1:12" x14ac:dyDescent="0.2">
      <c r="A108" s="35"/>
      <c r="B108" s="6"/>
      <c r="C108" s="19"/>
      <c r="D108" s="14"/>
      <c r="E108" s="32"/>
      <c r="F108" s="31"/>
      <c r="G108" s="6"/>
      <c r="H108" s="21"/>
      <c r="I108" s="59"/>
      <c r="J108" s="19"/>
      <c r="K108" s="22"/>
      <c r="L108" s="22"/>
    </row>
    <row r="109" spans="1:12" x14ac:dyDescent="0.2">
      <c r="A109" s="35"/>
      <c r="B109" s="6"/>
      <c r="C109" s="19"/>
      <c r="D109" s="14"/>
      <c r="E109" s="32"/>
      <c r="F109" s="31"/>
      <c r="G109" s="6"/>
      <c r="H109" s="21"/>
      <c r="I109" s="59"/>
      <c r="J109" s="19"/>
      <c r="K109" s="22"/>
      <c r="L109" s="22"/>
    </row>
    <row r="110" spans="1:12" x14ac:dyDescent="0.2">
      <c r="A110" s="35"/>
      <c r="B110" s="6"/>
      <c r="C110" s="19"/>
      <c r="D110" s="14"/>
      <c r="E110" s="32"/>
      <c r="F110" s="31"/>
      <c r="G110" s="6"/>
      <c r="H110" s="21"/>
      <c r="I110" s="59"/>
      <c r="J110" s="19"/>
      <c r="K110" s="22"/>
      <c r="L110" s="22"/>
    </row>
    <row r="111" spans="1:12" x14ac:dyDescent="0.2">
      <c r="A111" s="35"/>
      <c r="B111" s="6"/>
      <c r="C111" s="19"/>
      <c r="D111" s="14"/>
      <c r="E111" s="32"/>
      <c r="F111" s="31"/>
      <c r="G111" s="6"/>
      <c r="H111" s="21"/>
      <c r="I111" s="59"/>
      <c r="J111" s="19"/>
      <c r="K111" s="22"/>
      <c r="L111" s="22"/>
    </row>
    <row r="112" spans="1:12" x14ac:dyDescent="0.2">
      <c r="A112" s="35"/>
      <c r="B112" s="6"/>
      <c r="C112" s="19"/>
      <c r="D112" s="14"/>
      <c r="E112" s="32"/>
      <c r="F112" s="31"/>
      <c r="G112" s="6"/>
      <c r="H112" s="21"/>
      <c r="I112" s="59"/>
      <c r="J112" s="19"/>
      <c r="K112" s="22"/>
      <c r="L112" s="22"/>
    </row>
    <row r="113" spans="1:12" x14ac:dyDescent="0.2">
      <c r="A113" s="35"/>
      <c r="B113" s="6"/>
      <c r="C113" s="19"/>
      <c r="D113" s="14"/>
      <c r="E113" s="32"/>
      <c r="F113" s="31"/>
      <c r="G113" s="6"/>
      <c r="H113" s="21"/>
      <c r="I113" s="59"/>
      <c r="J113" s="19"/>
      <c r="K113" s="22"/>
      <c r="L113" s="22"/>
    </row>
    <row r="114" spans="1:12" x14ac:dyDescent="0.2">
      <c r="A114" s="35"/>
      <c r="B114" s="6"/>
      <c r="C114" s="19"/>
      <c r="D114" s="14"/>
      <c r="E114" s="32"/>
      <c r="F114" s="31"/>
      <c r="G114" s="6"/>
      <c r="H114" s="21"/>
      <c r="I114" s="59"/>
      <c r="J114" s="19"/>
      <c r="K114" s="22"/>
      <c r="L114" s="22"/>
    </row>
    <row r="115" spans="1:12" x14ac:dyDescent="0.2">
      <c r="A115" s="35"/>
      <c r="B115" s="6"/>
      <c r="C115" s="19"/>
      <c r="D115" s="14"/>
      <c r="E115" s="32"/>
      <c r="F115" s="31"/>
      <c r="G115" s="6"/>
      <c r="H115" s="21"/>
      <c r="I115" s="59"/>
      <c r="J115" s="19"/>
      <c r="K115" s="22"/>
      <c r="L115" s="22"/>
    </row>
    <row r="116" spans="1:12" x14ac:dyDescent="0.2">
      <c r="A116" s="35"/>
      <c r="B116" s="6"/>
      <c r="C116" s="19"/>
      <c r="D116" s="14"/>
      <c r="E116" s="32"/>
      <c r="F116" s="31"/>
      <c r="G116" s="6"/>
      <c r="H116" s="21"/>
      <c r="I116" s="59"/>
      <c r="J116" s="19"/>
      <c r="K116" s="22"/>
      <c r="L116" s="22"/>
    </row>
    <row r="117" spans="1:12" x14ac:dyDescent="0.2">
      <c r="A117" s="35"/>
      <c r="B117" s="6"/>
      <c r="C117" s="19"/>
      <c r="D117" s="14"/>
      <c r="E117" s="32"/>
      <c r="F117" s="31"/>
      <c r="G117" s="6"/>
      <c r="H117" s="21"/>
      <c r="I117" s="59"/>
      <c r="J117" s="19"/>
      <c r="K117" s="22"/>
      <c r="L117" s="22"/>
    </row>
    <row r="118" spans="1:12" x14ac:dyDescent="0.2">
      <c r="A118" s="35"/>
      <c r="B118" s="6"/>
      <c r="C118" s="19"/>
      <c r="D118" s="14"/>
      <c r="E118" s="32"/>
      <c r="F118" s="31"/>
      <c r="G118" s="6"/>
      <c r="H118" s="21"/>
      <c r="I118" s="59"/>
      <c r="J118" s="19"/>
      <c r="K118" s="22"/>
      <c r="L118" s="22"/>
    </row>
    <row r="119" spans="1:12" x14ac:dyDescent="0.2">
      <c r="A119" s="35"/>
      <c r="B119" s="6"/>
      <c r="C119" s="19"/>
      <c r="D119" s="14"/>
      <c r="E119" s="32"/>
      <c r="F119" s="31"/>
      <c r="G119" s="6"/>
      <c r="H119" s="21"/>
      <c r="I119" s="59"/>
      <c r="J119" s="19"/>
      <c r="K119" s="22"/>
      <c r="L119" s="22"/>
    </row>
    <row r="120" spans="1:12" x14ac:dyDescent="0.2">
      <c r="A120" s="35"/>
      <c r="B120" s="6"/>
      <c r="C120" s="19"/>
      <c r="D120" s="14"/>
      <c r="E120" s="32"/>
      <c r="F120" s="31"/>
      <c r="G120" s="6"/>
      <c r="H120" s="21"/>
      <c r="I120" s="59"/>
      <c r="J120" s="19"/>
      <c r="K120" s="22"/>
      <c r="L120" s="22"/>
    </row>
    <row r="121" spans="1:12" x14ac:dyDescent="0.2">
      <c r="A121" s="35"/>
      <c r="B121" s="6"/>
      <c r="C121" s="19"/>
      <c r="D121" s="14"/>
      <c r="E121" s="32"/>
      <c r="F121" s="31"/>
      <c r="G121" s="6"/>
      <c r="H121" s="21"/>
      <c r="I121" s="59"/>
      <c r="J121" s="19"/>
      <c r="K121" s="22"/>
      <c r="L121" s="22"/>
    </row>
    <row r="122" spans="1:12" x14ac:dyDescent="0.2">
      <c r="A122" s="35"/>
      <c r="B122" s="6"/>
      <c r="C122" s="19"/>
      <c r="D122" s="14"/>
      <c r="E122" s="32"/>
      <c r="F122" s="31"/>
      <c r="G122" s="6"/>
      <c r="H122" s="21"/>
      <c r="I122" s="59"/>
      <c r="J122" s="19"/>
      <c r="K122" s="22"/>
      <c r="L122" s="22"/>
    </row>
    <row r="123" spans="1:12" x14ac:dyDescent="0.2">
      <c r="A123" s="35"/>
      <c r="B123" s="6"/>
      <c r="C123" s="19"/>
      <c r="D123" s="14"/>
      <c r="E123" s="32"/>
      <c r="F123" s="31"/>
      <c r="G123" s="6"/>
      <c r="H123" s="21"/>
      <c r="I123" s="59"/>
      <c r="J123" s="19"/>
      <c r="K123" s="22"/>
      <c r="L123" s="22"/>
    </row>
    <row r="124" spans="1:12" x14ac:dyDescent="0.2">
      <c r="A124" s="35"/>
      <c r="B124" s="6"/>
      <c r="C124" s="19"/>
      <c r="D124" s="14"/>
      <c r="E124" s="32"/>
      <c r="F124" s="31"/>
      <c r="G124" s="6"/>
      <c r="H124" s="21"/>
      <c r="I124" s="59"/>
      <c r="J124" s="19"/>
      <c r="K124" s="22"/>
      <c r="L124" s="22"/>
    </row>
    <row r="125" spans="1:12" x14ac:dyDescent="0.2">
      <c r="A125" s="35"/>
      <c r="B125" s="6"/>
      <c r="C125" s="19"/>
      <c r="D125" s="14"/>
      <c r="E125" s="32"/>
      <c r="F125" s="31"/>
      <c r="G125" s="6"/>
      <c r="H125" s="21"/>
      <c r="I125" s="59"/>
      <c r="J125" s="19"/>
      <c r="K125" s="22"/>
      <c r="L125" s="22"/>
    </row>
    <row r="126" spans="1:12" x14ac:dyDescent="0.2">
      <c r="A126" s="35"/>
      <c r="B126" s="6"/>
      <c r="C126" s="19"/>
      <c r="D126" s="14"/>
      <c r="E126" s="32"/>
      <c r="F126" s="31"/>
      <c r="G126" s="6"/>
      <c r="H126" s="21"/>
      <c r="I126" s="59"/>
      <c r="J126" s="19"/>
      <c r="K126" s="22"/>
      <c r="L126" s="22"/>
    </row>
    <row r="127" spans="1:12" x14ac:dyDescent="0.2">
      <c r="A127" s="35"/>
      <c r="B127" s="6"/>
      <c r="C127" s="19"/>
      <c r="D127" s="14"/>
      <c r="E127" s="32"/>
      <c r="F127" s="31"/>
      <c r="G127" s="6"/>
      <c r="H127" s="21"/>
      <c r="I127" s="59"/>
      <c r="J127" s="19"/>
      <c r="K127" s="22"/>
      <c r="L127" s="22"/>
    </row>
    <row r="128" spans="1:12" x14ac:dyDescent="0.2">
      <c r="A128" s="35"/>
      <c r="B128" s="6"/>
      <c r="C128" s="19"/>
      <c r="D128" s="14"/>
      <c r="E128" s="32"/>
      <c r="F128" s="31"/>
      <c r="G128" s="6"/>
      <c r="H128" s="21"/>
      <c r="I128" s="59"/>
      <c r="J128" s="19"/>
      <c r="K128" s="22"/>
      <c r="L128" s="22"/>
    </row>
    <row r="129" spans="1:12" x14ac:dyDescent="0.2">
      <c r="A129" s="35"/>
      <c r="B129" s="6"/>
      <c r="C129" s="19"/>
      <c r="D129" s="14"/>
      <c r="E129" s="32"/>
      <c r="F129" s="31"/>
      <c r="G129" s="6"/>
      <c r="H129" s="21"/>
      <c r="I129" s="59"/>
      <c r="J129" s="19"/>
      <c r="K129" s="22"/>
      <c r="L129" s="22"/>
    </row>
    <row r="130" spans="1:12" x14ac:dyDescent="0.2">
      <c r="A130" s="35"/>
      <c r="B130" s="6"/>
      <c r="C130" s="19"/>
      <c r="D130" s="14"/>
      <c r="E130" s="32"/>
      <c r="F130" s="31"/>
      <c r="G130" s="6"/>
      <c r="H130" s="21"/>
      <c r="I130" s="59"/>
      <c r="J130" s="19"/>
      <c r="K130" s="22"/>
      <c r="L130" s="22"/>
    </row>
    <row r="131" spans="1:12" x14ac:dyDescent="0.2">
      <c r="A131" s="35"/>
      <c r="B131" s="6"/>
      <c r="C131" s="19"/>
      <c r="D131" s="14"/>
      <c r="E131" s="32"/>
      <c r="F131" s="31"/>
      <c r="G131" s="6"/>
      <c r="H131" s="21"/>
      <c r="I131" s="59"/>
      <c r="J131" s="19"/>
      <c r="K131" s="22"/>
      <c r="L131" s="22"/>
    </row>
    <row r="132" spans="1:12" x14ac:dyDescent="0.2">
      <c r="A132" s="35"/>
      <c r="B132" s="6"/>
      <c r="C132" s="19"/>
      <c r="D132" s="14"/>
      <c r="E132" s="32"/>
      <c r="F132" s="31"/>
      <c r="G132" s="6"/>
      <c r="H132" s="21"/>
      <c r="I132" s="59"/>
      <c r="J132" s="19"/>
      <c r="K132" s="22"/>
      <c r="L132" s="22"/>
    </row>
    <row r="133" spans="1:12" x14ac:dyDescent="0.2">
      <c r="A133" s="35"/>
      <c r="B133" s="6"/>
      <c r="C133" s="19"/>
      <c r="D133" s="14"/>
      <c r="E133" s="32"/>
      <c r="F133" s="31"/>
      <c r="G133" s="6"/>
      <c r="H133" s="21"/>
      <c r="I133" s="59"/>
      <c r="J133" s="19"/>
      <c r="K133" s="22"/>
      <c r="L133" s="22"/>
    </row>
    <row r="134" spans="1:12" x14ac:dyDescent="0.2">
      <c r="A134" s="35"/>
      <c r="B134" s="6"/>
      <c r="C134" s="19"/>
      <c r="D134" s="14"/>
      <c r="E134" s="32"/>
      <c r="F134" s="31"/>
      <c r="G134" s="6"/>
      <c r="H134" s="21"/>
      <c r="I134" s="59"/>
      <c r="J134" s="19"/>
      <c r="K134" s="22"/>
      <c r="L134" s="22"/>
    </row>
    <row r="135" spans="1:12" x14ac:dyDescent="0.2">
      <c r="A135" s="35"/>
      <c r="B135" s="6"/>
      <c r="C135" s="19"/>
      <c r="D135" s="14"/>
      <c r="E135" s="32"/>
      <c r="F135" s="31"/>
      <c r="G135" s="6"/>
      <c r="H135" s="21"/>
      <c r="I135" s="59"/>
      <c r="J135" s="19"/>
      <c r="K135" s="22"/>
      <c r="L135" s="22"/>
    </row>
    <row r="136" spans="1:12" x14ac:dyDescent="0.2">
      <c r="A136" s="35"/>
      <c r="B136" s="6"/>
      <c r="C136" s="19"/>
      <c r="D136" s="14"/>
      <c r="E136" s="32"/>
      <c r="F136" s="31"/>
      <c r="G136" s="6"/>
      <c r="H136" s="21"/>
      <c r="I136" s="59"/>
      <c r="J136" s="19"/>
      <c r="K136" s="22"/>
      <c r="L136" s="22"/>
    </row>
    <row r="137" spans="1:12" x14ac:dyDescent="0.2">
      <c r="A137" s="35"/>
      <c r="B137" s="6"/>
      <c r="C137" s="19"/>
      <c r="D137" s="14"/>
      <c r="E137" s="32"/>
      <c r="F137" s="31"/>
      <c r="G137" s="6"/>
      <c r="H137" s="21"/>
      <c r="I137" s="59"/>
      <c r="J137" s="19"/>
      <c r="K137" s="22"/>
      <c r="L137" s="22"/>
    </row>
  </sheetData>
  <mergeCells count="4">
    <mergeCell ref="F1:F2"/>
    <mergeCell ref="E1:E2"/>
    <mergeCell ref="A43:K43"/>
    <mergeCell ref="A41:L41"/>
  </mergeCells>
  <phoneticPr fontId="1"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1B57B2BB-8446-9E43-82E1-7164913933B9}">
          <x14:formula1>
            <xm:f>Dropdowns!$I$2:$I$15</xm:f>
          </x14:formula1>
          <xm:sqref>G40 G44:G137 G4:G38</xm:sqref>
        </x14:dataValidation>
        <x14:dataValidation type="list" allowBlank="1" showInputMessage="1" showErrorMessage="1" xr:uid="{3AA881C6-18C7-504A-8276-7B079A6A4BC2}">
          <x14:formula1>
            <xm:f>Dropdowns!$C$2:$C$8</xm:f>
          </x14:formula1>
          <xm:sqref>B40 B44:B137</xm:sqref>
        </x14:dataValidation>
        <x14:dataValidation type="list" allowBlank="1" showInputMessage="1" showErrorMessage="1" xr:uid="{0AD03373-D580-EC4E-BE2A-D9ECD5C42AE8}">
          <x14:formula1>
            <xm:f>Dropdowns!$K$2:$K$6</xm:f>
          </x14:formula1>
          <xm:sqref>I40 I44:I137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6FB1-DE9A-D742-9BEC-113E33C2C568}">
  <dimension ref="A1:L136"/>
  <sheetViews>
    <sheetView showGridLines="0" zoomScale="120" zoomScaleNormal="120" workbookViewId="0">
      <selection activeCell="A8" sqref="A8:L10"/>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6640625" bestFit="1" customWidth="1"/>
    <col min="6" max="6" width="14.1640625" bestFit="1" customWidth="1"/>
    <col min="8" max="8" width="30.6640625" customWidth="1"/>
    <col min="9" max="9" width="16" customWidth="1"/>
    <col min="10" max="10" width="51.83203125" customWidth="1"/>
    <col min="11" max="11" width="23.6640625" bestFit="1" customWidth="1"/>
    <col min="12" max="12" width="26.1640625" bestFit="1" customWidth="1"/>
  </cols>
  <sheetData>
    <row r="1" spans="1:12" x14ac:dyDescent="0.2">
      <c r="E1" s="128" t="s">
        <v>114</v>
      </c>
      <c r="F1" s="126">
        <v>17.05</v>
      </c>
    </row>
    <row r="2" spans="1:12" ht="16" thickBot="1" x14ac:dyDescent="0.25">
      <c r="E2" s="129"/>
      <c r="F2" s="127"/>
    </row>
    <row r="3" spans="1:12" ht="16" x14ac:dyDescent="0.2">
      <c r="A3" t="s">
        <v>183</v>
      </c>
      <c r="B3" s="51" t="s">
        <v>152</v>
      </c>
      <c r="C3" s="53" t="s">
        <v>117</v>
      </c>
      <c r="D3" t="s">
        <v>526</v>
      </c>
      <c r="E3" s="52" t="s">
        <v>256</v>
      </c>
      <c r="F3" s="52" t="s">
        <v>70</v>
      </c>
      <c r="G3" s="52" t="s">
        <v>154</v>
      </c>
      <c r="H3" t="s">
        <v>527</v>
      </c>
      <c r="I3" s="54" t="s">
        <v>116</v>
      </c>
      <c r="J3" s="1" t="s">
        <v>428</v>
      </c>
      <c r="K3" s="55" t="s">
        <v>113</v>
      </c>
      <c r="L3" s="55" t="s">
        <v>112</v>
      </c>
    </row>
    <row r="4" spans="1:12" ht="96" x14ac:dyDescent="0.2">
      <c r="A4" s="85" t="s">
        <v>271</v>
      </c>
      <c r="B4" s="85" t="s">
        <v>128</v>
      </c>
      <c r="C4" s="82" t="s">
        <v>51</v>
      </c>
      <c r="D4" s="82" t="s">
        <v>111</v>
      </c>
      <c r="E4" s="88">
        <v>2310000</v>
      </c>
      <c r="F4" s="99">
        <f>Table8101213141516[[#This Row],[Total US$ ]]*$F$1</f>
        <v>39385500</v>
      </c>
      <c r="G4" s="85" t="s">
        <v>174</v>
      </c>
      <c r="H4" s="96" t="s">
        <v>570</v>
      </c>
      <c r="I4" s="109" t="s">
        <v>329</v>
      </c>
      <c r="J4" s="82" t="s">
        <v>500</v>
      </c>
      <c r="K4" s="112">
        <v>44501</v>
      </c>
      <c r="L4" s="112">
        <v>44561</v>
      </c>
    </row>
    <row r="5" spans="1:12" ht="16" x14ac:dyDescent="0.2">
      <c r="A5" s="85" t="s">
        <v>272</v>
      </c>
      <c r="B5" s="85" t="s">
        <v>129</v>
      </c>
      <c r="C5" s="82"/>
      <c r="D5" s="82" t="s">
        <v>5</v>
      </c>
      <c r="E5" s="86">
        <v>47690000</v>
      </c>
      <c r="F5" s="99">
        <f>Table8101213141516[[#This Row],[Total US$ ]]*$F$1</f>
        <v>813114500</v>
      </c>
      <c r="G5" s="85" t="s">
        <v>174</v>
      </c>
      <c r="H5" s="96"/>
      <c r="I5" s="109" t="s">
        <v>338</v>
      </c>
      <c r="J5" s="82"/>
      <c r="K5" s="111">
        <v>44927</v>
      </c>
      <c r="L5" s="111">
        <v>46752</v>
      </c>
    </row>
    <row r="6" spans="1:12" x14ac:dyDescent="0.2">
      <c r="A6" s="85"/>
      <c r="B6" s="85"/>
      <c r="C6" s="81"/>
      <c r="D6" s="81"/>
      <c r="E6" s="86">
        <f>SUBTOTAL(109,Table8101213141516[Total US$ ])</f>
        <v>50000000</v>
      </c>
      <c r="F6" s="99">
        <f>SUBTOTAL(109,Table8101213141516[Total ZAR])</f>
        <v>852500000</v>
      </c>
      <c r="G6" s="6"/>
      <c r="H6" s="56"/>
      <c r="I6" s="58"/>
      <c r="J6" s="28"/>
      <c r="K6" s="57"/>
      <c r="L6" s="57"/>
    </row>
    <row r="7" spans="1:12" x14ac:dyDescent="0.2">
      <c r="A7" s="35"/>
      <c r="B7" s="26"/>
      <c r="C7" s="13"/>
      <c r="D7" s="13"/>
      <c r="E7" s="29"/>
      <c r="F7" s="31"/>
      <c r="G7" s="6"/>
      <c r="H7" s="7"/>
      <c r="I7" s="27"/>
      <c r="J7" s="7"/>
      <c r="K7" s="15"/>
      <c r="L7" s="15"/>
    </row>
    <row r="8" spans="1:12" ht="33" customHeight="1" x14ac:dyDescent="0.2">
      <c r="A8" s="130" t="s">
        <v>589</v>
      </c>
      <c r="B8" s="130"/>
      <c r="C8" s="130"/>
      <c r="D8" s="130"/>
      <c r="E8" s="130"/>
      <c r="F8" s="130"/>
      <c r="G8" s="130"/>
      <c r="H8" s="130"/>
      <c r="I8" s="130"/>
      <c r="J8" s="130"/>
      <c r="K8" s="130"/>
      <c r="L8" s="130"/>
    </row>
    <row r="9" spans="1:12" x14ac:dyDescent="0.2">
      <c r="B9" s="1"/>
      <c r="F9" s="1"/>
      <c r="G9" s="1"/>
      <c r="H9" s="8"/>
      <c r="I9" s="1"/>
      <c r="J9" s="3"/>
      <c r="L9" s="18"/>
    </row>
    <row r="10" spans="1:12" x14ac:dyDescent="0.2">
      <c r="A10" s="125" t="s">
        <v>590</v>
      </c>
      <c r="B10" s="125"/>
      <c r="C10" s="125"/>
      <c r="D10" s="125"/>
      <c r="E10" s="125"/>
      <c r="F10" s="125"/>
      <c r="G10" s="125"/>
      <c r="H10" s="125"/>
      <c r="I10" s="125"/>
      <c r="J10" s="125"/>
      <c r="K10" s="125"/>
      <c r="L10" s="15"/>
    </row>
    <row r="11" spans="1:12" x14ac:dyDescent="0.2">
      <c r="A11" s="35"/>
      <c r="B11" s="6"/>
      <c r="C11" s="14"/>
      <c r="D11" s="14"/>
      <c r="E11" s="30"/>
      <c r="F11" s="31"/>
      <c r="G11" s="6"/>
      <c r="H11" s="17"/>
      <c r="I11" s="27"/>
      <c r="J11" s="17"/>
      <c r="K11" s="18"/>
      <c r="L11" s="18"/>
    </row>
    <row r="12" spans="1:12" x14ac:dyDescent="0.2">
      <c r="A12" s="35"/>
      <c r="B12" s="6"/>
      <c r="C12" s="14"/>
      <c r="D12" s="14"/>
      <c r="E12" s="30"/>
      <c r="F12" s="31"/>
      <c r="G12" s="6"/>
      <c r="H12" s="17"/>
      <c r="I12" s="27"/>
      <c r="J12" s="17"/>
      <c r="K12" s="18"/>
      <c r="L12" s="18"/>
    </row>
    <row r="13" spans="1:12" x14ac:dyDescent="0.2">
      <c r="A13" s="35"/>
      <c r="B13" s="26"/>
      <c r="C13" s="14"/>
      <c r="D13" s="14"/>
      <c r="E13" s="30"/>
      <c r="F13" s="31"/>
      <c r="G13" s="5"/>
      <c r="H13" s="17"/>
      <c r="I13" s="27"/>
      <c r="J13" s="17"/>
      <c r="K13" s="18"/>
      <c r="L13" s="18"/>
    </row>
    <row r="14" spans="1:12" x14ac:dyDescent="0.2">
      <c r="A14" s="35"/>
      <c r="B14" s="26"/>
      <c r="C14" s="13"/>
      <c r="D14" s="13"/>
      <c r="E14" s="29"/>
      <c r="F14" s="31"/>
      <c r="G14" s="5"/>
      <c r="H14" s="7"/>
      <c r="I14" s="27"/>
      <c r="J14" s="7"/>
      <c r="K14" s="18"/>
      <c r="L14" s="15"/>
    </row>
    <row r="15" spans="1:12" x14ac:dyDescent="0.2">
      <c r="A15" s="35"/>
      <c r="B15" s="26"/>
      <c r="C15" s="13"/>
      <c r="D15" s="13"/>
      <c r="E15" s="29"/>
      <c r="F15" s="31"/>
      <c r="G15" s="5"/>
      <c r="H15" s="7"/>
      <c r="I15" s="27"/>
      <c r="J15" s="13"/>
      <c r="K15" s="18"/>
      <c r="L15" s="15"/>
    </row>
    <row r="16" spans="1:12" x14ac:dyDescent="0.2">
      <c r="A16" s="35"/>
      <c r="B16" s="26"/>
      <c r="C16" s="13"/>
      <c r="D16" s="13"/>
      <c r="E16" s="29"/>
      <c r="F16" s="31"/>
      <c r="G16" s="6"/>
      <c r="H16" s="7"/>
      <c r="I16" s="27"/>
      <c r="J16" s="13"/>
      <c r="K16" s="15"/>
      <c r="L16" s="15"/>
    </row>
    <row r="17" spans="1:12" x14ac:dyDescent="0.2">
      <c r="A17" s="35"/>
      <c r="B17" s="26"/>
      <c r="C17" s="13"/>
      <c r="D17" s="13"/>
      <c r="E17" s="29"/>
      <c r="F17" s="31"/>
      <c r="G17" s="6"/>
      <c r="H17" s="7"/>
      <c r="I17" s="27"/>
      <c r="J17" s="13"/>
      <c r="K17" s="15"/>
      <c r="L17" s="15"/>
    </row>
    <row r="18" spans="1:12" x14ac:dyDescent="0.2">
      <c r="A18" s="35"/>
      <c r="B18" s="26"/>
      <c r="C18" s="13"/>
      <c r="D18" s="13"/>
      <c r="E18" s="29"/>
      <c r="F18" s="31"/>
      <c r="G18" s="6"/>
      <c r="H18" s="7"/>
      <c r="I18" s="27"/>
      <c r="J18" s="13"/>
      <c r="K18" s="15"/>
      <c r="L18" s="15"/>
    </row>
    <row r="19" spans="1:12" x14ac:dyDescent="0.2">
      <c r="A19" s="35"/>
      <c r="B19" s="26"/>
      <c r="C19" s="13"/>
      <c r="D19" s="13"/>
      <c r="E19" s="29"/>
      <c r="F19" s="31"/>
      <c r="G19" s="6"/>
      <c r="H19" s="7"/>
      <c r="I19" s="27"/>
      <c r="J19" s="7"/>
      <c r="K19" s="15"/>
      <c r="L19" s="15"/>
    </row>
    <row r="20" spans="1:12" x14ac:dyDescent="0.2">
      <c r="A20" s="35"/>
      <c r="B20" s="26"/>
      <c r="C20" s="13"/>
      <c r="D20" s="13"/>
      <c r="E20" s="29"/>
      <c r="F20" s="31"/>
      <c r="G20" s="6"/>
      <c r="H20" s="7"/>
      <c r="I20" s="27"/>
      <c r="J20" s="7"/>
      <c r="K20" s="15"/>
      <c r="L20" s="15"/>
    </row>
    <row r="21" spans="1:12" x14ac:dyDescent="0.2">
      <c r="A21" s="35"/>
      <c r="B21" s="26"/>
      <c r="C21" s="13"/>
      <c r="D21" s="13"/>
      <c r="E21" s="29"/>
      <c r="F21" s="31"/>
      <c r="G21" s="6"/>
      <c r="H21" s="7"/>
      <c r="I21" s="27"/>
      <c r="J21" s="13"/>
      <c r="K21" s="18"/>
      <c r="L21" s="15"/>
    </row>
    <row r="22" spans="1:12" x14ac:dyDescent="0.2">
      <c r="A22" s="35"/>
      <c r="B22" s="26"/>
      <c r="C22" s="13"/>
      <c r="D22" s="13"/>
      <c r="E22" s="29"/>
      <c r="F22" s="31"/>
      <c r="G22" s="6"/>
      <c r="H22" s="7"/>
      <c r="I22" s="27"/>
      <c r="J22" s="7"/>
      <c r="K22" s="15"/>
      <c r="L22" s="15"/>
    </row>
    <row r="23" spans="1:12" x14ac:dyDescent="0.2">
      <c r="A23" s="35"/>
      <c r="B23" s="39"/>
      <c r="C23" s="39"/>
      <c r="D23" s="40"/>
      <c r="E23" s="47"/>
      <c r="F23" s="31"/>
      <c r="G23" s="5"/>
      <c r="H23" s="41"/>
      <c r="I23" s="43"/>
      <c r="J23" s="41"/>
      <c r="K23" s="48"/>
      <c r="L23" s="48"/>
    </row>
    <row r="24" spans="1:12" x14ac:dyDescent="0.2">
      <c r="A24" s="35"/>
      <c r="B24" s="35"/>
      <c r="C24" s="6"/>
      <c r="D24" s="33"/>
      <c r="E24" s="49"/>
      <c r="F24" s="31"/>
      <c r="G24" s="5"/>
      <c r="H24" s="36"/>
      <c r="I24" s="27"/>
      <c r="J24" s="36"/>
      <c r="K24" s="38"/>
      <c r="L24" s="38"/>
    </row>
    <row r="25" spans="1:12" x14ac:dyDescent="0.2">
      <c r="A25" s="35"/>
      <c r="B25" s="39"/>
      <c r="C25" s="5"/>
      <c r="D25" s="40"/>
      <c r="E25" s="47"/>
      <c r="F25" s="31"/>
      <c r="G25" s="5"/>
      <c r="H25" s="41"/>
      <c r="I25" s="43"/>
      <c r="J25" s="41"/>
      <c r="K25" s="48"/>
      <c r="L25" s="48"/>
    </row>
    <row r="26" spans="1:12" x14ac:dyDescent="0.2">
      <c r="A26" s="35"/>
      <c r="B26" s="39"/>
      <c r="C26" s="40"/>
      <c r="D26" s="40"/>
      <c r="E26" s="47"/>
      <c r="F26" s="31"/>
      <c r="G26" s="5"/>
      <c r="H26" s="41"/>
      <c r="I26" s="43"/>
      <c r="J26" s="41"/>
      <c r="K26" s="48"/>
      <c r="L26" s="48"/>
    </row>
    <row r="27" spans="1:12" x14ac:dyDescent="0.2">
      <c r="A27" s="35"/>
      <c r="B27" s="35"/>
      <c r="C27" s="33"/>
      <c r="D27" s="33"/>
      <c r="E27" s="49"/>
      <c r="F27" s="31"/>
      <c r="G27" s="6"/>
      <c r="H27" s="36"/>
      <c r="I27" s="27"/>
      <c r="J27" s="36"/>
      <c r="K27" s="38"/>
      <c r="L27" s="38"/>
    </row>
    <row r="28" spans="1:12" x14ac:dyDescent="0.2">
      <c r="A28" s="35"/>
      <c r="B28" s="39"/>
      <c r="C28" s="40"/>
      <c r="D28" s="40"/>
      <c r="E28" s="39"/>
      <c r="F28" s="31"/>
      <c r="G28" s="5"/>
      <c r="H28" s="41"/>
      <c r="I28" s="43"/>
      <c r="J28" s="41"/>
      <c r="K28" s="48"/>
      <c r="L28" s="48"/>
    </row>
    <row r="29" spans="1:12" x14ac:dyDescent="0.2">
      <c r="A29" s="35"/>
      <c r="B29" s="39"/>
      <c r="C29" s="40"/>
      <c r="D29" s="40"/>
      <c r="E29" s="39"/>
      <c r="F29" s="31"/>
      <c r="G29" s="5"/>
      <c r="H29" s="41"/>
      <c r="I29" s="43"/>
      <c r="J29" s="41"/>
      <c r="K29" s="48"/>
      <c r="L29" s="48"/>
    </row>
    <row r="30" spans="1:12" x14ac:dyDescent="0.2">
      <c r="A30" s="35"/>
      <c r="B30" s="35"/>
      <c r="C30" s="40"/>
      <c r="D30" s="33"/>
      <c r="E30" s="49"/>
      <c r="F30" s="31"/>
      <c r="G30" s="6"/>
      <c r="H30" s="36"/>
      <c r="I30" s="27"/>
      <c r="J30" s="36"/>
      <c r="K30" s="38"/>
      <c r="L30" s="38"/>
    </row>
    <row r="31" spans="1:12" x14ac:dyDescent="0.2">
      <c r="A31" s="35"/>
      <c r="B31" s="35"/>
      <c r="C31" s="33"/>
      <c r="D31" s="33"/>
      <c r="E31" s="49"/>
      <c r="F31" s="31"/>
      <c r="G31" s="6"/>
      <c r="H31" s="36"/>
      <c r="I31" s="27"/>
      <c r="J31" s="36"/>
      <c r="K31" s="38"/>
      <c r="L31" s="38"/>
    </row>
    <row r="32" spans="1:12" x14ac:dyDescent="0.2">
      <c r="A32" s="35"/>
      <c r="B32" s="39"/>
      <c r="C32" s="40"/>
      <c r="D32" s="40"/>
      <c r="E32" s="39"/>
      <c r="F32" s="31"/>
      <c r="G32" s="6"/>
      <c r="H32" s="41"/>
      <c r="I32" s="42"/>
      <c r="J32" s="41"/>
      <c r="K32" s="48"/>
      <c r="L32" s="48"/>
    </row>
    <row r="33" spans="1:12" x14ac:dyDescent="0.2">
      <c r="A33" s="35"/>
      <c r="B33" s="35"/>
      <c r="C33" s="33"/>
      <c r="D33" s="33"/>
      <c r="E33" s="49"/>
      <c r="F33" s="31"/>
      <c r="G33" s="6"/>
      <c r="H33" s="36"/>
      <c r="I33" s="27"/>
      <c r="J33" s="36"/>
      <c r="K33" s="38"/>
      <c r="L33" s="38"/>
    </row>
    <row r="34" spans="1:12" x14ac:dyDescent="0.2">
      <c r="A34" s="35"/>
      <c r="B34" s="6"/>
      <c r="C34" s="19"/>
      <c r="D34" s="14"/>
      <c r="E34" s="32"/>
      <c r="F34" s="31"/>
      <c r="G34" s="6"/>
      <c r="H34" s="21"/>
      <c r="I34" s="59"/>
      <c r="J34" s="19"/>
      <c r="K34" s="22"/>
      <c r="L34" s="22"/>
    </row>
    <row r="35" spans="1:12" x14ac:dyDescent="0.2">
      <c r="A35" s="35"/>
      <c r="B35" s="6"/>
      <c r="C35" s="19"/>
      <c r="D35" s="14"/>
      <c r="E35" s="32"/>
      <c r="F35" s="31"/>
      <c r="G35" s="6"/>
      <c r="H35" s="21"/>
      <c r="I35" s="59"/>
      <c r="J35" s="19"/>
      <c r="K35" s="22"/>
      <c r="L35" s="22"/>
    </row>
    <row r="36" spans="1:12" x14ac:dyDescent="0.2">
      <c r="A36" s="35"/>
      <c r="B36" s="6"/>
      <c r="C36" s="19"/>
      <c r="D36" s="14"/>
      <c r="E36" s="32"/>
      <c r="F36" s="31"/>
      <c r="G36" s="6"/>
      <c r="H36" s="21"/>
      <c r="I36" s="59"/>
      <c r="J36" s="19"/>
      <c r="K36" s="22"/>
      <c r="L36" s="22"/>
    </row>
    <row r="37" spans="1:12" x14ac:dyDescent="0.2">
      <c r="A37" s="35"/>
      <c r="B37" s="6"/>
      <c r="C37" s="19"/>
      <c r="D37" s="14"/>
      <c r="E37" s="32"/>
      <c r="F37" s="31"/>
      <c r="G37" s="6"/>
      <c r="H37" s="21"/>
      <c r="I37" s="59"/>
      <c r="J37" s="19"/>
      <c r="K37" s="22"/>
      <c r="L37" s="22"/>
    </row>
    <row r="38" spans="1:12" x14ac:dyDescent="0.2">
      <c r="A38" s="35"/>
      <c r="B38" s="6"/>
      <c r="C38" s="19"/>
      <c r="D38" s="14"/>
      <c r="E38" s="32"/>
      <c r="F38" s="31"/>
      <c r="G38" s="6"/>
      <c r="H38" s="21"/>
      <c r="I38" s="59"/>
      <c r="J38" s="19"/>
      <c r="K38" s="22"/>
      <c r="L38" s="22"/>
    </row>
    <row r="39" spans="1:12" x14ac:dyDescent="0.2">
      <c r="A39" s="35"/>
      <c r="B39" s="6"/>
      <c r="C39" s="19"/>
      <c r="D39" s="14"/>
      <c r="E39" s="32"/>
      <c r="F39" s="31"/>
      <c r="G39" s="6"/>
      <c r="H39" s="21"/>
      <c r="I39" s="59"/>
      <c r="J39" s="19"/>
      <c r="K39" s="22"/>
      <c r="L39" s="22"/>
    </row>
    <row r="40" spans="1:12" x14ac:dyDescent="0.2">
      <c r="A40" s="35"/>
      <c r="B40" s="6"/>
      <c r="C40" s="19"/>
      <c r="D40" s="14"/>
      <c r="E40" s="32"/>
      <c r="F40" s="31"/>
      <c r="G40" s="6"/>
      <c r="H40" s="21"/>
      <c r="I40" s="59"/>
      <c r="J40" s="19"/>
      <c r="K40" s="22"/>
      <c r="L40" s="22"/>
    </row>
    <row r="41" spans="1:12" x14ac:dyDescent="0.2">
      <c r="A41" s="35"/>
      <c r="B41" s="6"/>
      <c r="C41" s="19"/>
      <c r="D41" s="14"/>
      <c r="E41" s="32"/>
      <c r="F41" s="31"/>
      <c r="G41" s="6"/>
      <c r="H41" s="21"/>
      <c r="I41" s="59"/>
      <c r="J41" s="19"/>
      <c r="K41" s="22"/>
      <c r="L41" s="22"/>
    </row>
    <row r="42" spans="1:12" x14ac:dyDescent="0.2">
      <c r="A42" s="35"/>
      <c r="B42" s="6"/>
      <c r="C42" s="19"/>
      <c r="D42" s="14"/>
      <c r="E42" s="32"/>
      <c r="F42" s="31"/>
      <c r="G42" s="6"/>
      <c r="H42" s="21"/>
      <c r="I42" s="59"/>
      <c r="J42" s="19"/>
      <c r="K42" s="22"/>
      <c r="L42" s="22"/>
    </row>
    <row r="43" spans="1:12" x14ac:dyDescent="0.2">
      <c r="A43" s="35"/>
      <c r="B43" s="6"/>
      <c r="C43" s="19"/>
      <c r="D43" s="14"/>
      <c r="E43" s="32"/>
      <c r="F43" s="31"/>
      <c r="G43" s="6"/>
      <c r="H43" s="21"/>
      <c r="I43" s="59"/>
      <c r="J43" s="19"/>
      <c r="K43" s="22"/>
      <c r="L43" s="22"/>
    </row>
    <row r="44" spans="1:12" x14ac:dyDescent="0.2">
      <c r="A44" s="35"/>
      <c r="B44" s="6"/>
      <c r="C44" s="19"/>
      <c r="D44" s="14"/>
      <c r="E44" s="32"/>
      <c r="F44" s="31"/>
      <c r="G44" s="6"/>
      <c r="H44" s="21"/>
      <c r="I44" s="59"/>
      <c r="J44" s="19"/>
      <c r="K44" s="22"/>
      <c r="L44" s="22"/>
    </row>
    <row r="45" spans="1:12" x14ac:dyDescent="0.2">
      <c r="A45" s="35"/>
      <c r="B45" s="6"/>
      <c r="C45" s="19"/>
      <c r="D45" s="14"/>
      <c r="E45" s="32"/>
      <c r="F45" s="31"/>
      <c r="G45" s="6"/>
      <c r="H45" s="21"/>
      <c r="I45" s="59"/>
      <c r="J45" s="19"/>
      <c r="K45" s="22"/>
      <c r="L45" s="22"/>
    </row>
    <row r="46" spans="1:12" x14ac:dyDescent="0.2">
      <c r="A46" s="35"/>
      <c r="B46" s="6"/>
      <c r="C46" s="19"/>
      <c r="D46" s="14"/>
      <c r="E46" s="32"/>
      <c r="F46" s="31"/>
      <c r="G46" s="6"/>
      <c r="H46" s="21"/>
      <c r="I46" s="59"/>
      <c r="J46" s="19"/>
      <c r="K46" s="22"/>
      <c r="L46" s="22"/>
    </row>
    <row r="47" spans="1:12" x14ac:dyDescent="0.2">
      <c r="A47" s="35"/>
      <c r="B47" s="6"/>
      <c r="C47" s="19"/>
      <c r="D47" s="14"/>
      <c r="E47" s="32"/>
      <c r="F47" s="31"/>
      <c r="G47" s="6"/>
      <c r="H47" s="21"/>
      <c r="I47" s="59"/>
      <c r="J47" s="19"/>
      <c r="K47" s="22"/>
      <c r="L47" s="22"/>
    </row>
    <row r="48" spans="1:12" x14ac:dyDescent="0.2">
      <c r="A48" s="35"/>
      <c r="B48" s="6"/>
      <c r="C48" s="19"/>
      <c r="D48" s="14"/>
      <c r="E48" s="32"/>
      <c r="F48" s="31"/>
      <c r="G48" s="6"/>
      <c r="H48" s="21"/>
      <c r="I48" s="59"/>
      <c r="J48" s="19"/>
      <c r="K48" s="22"/>
      <c r="L48" s="22"/>
    </row>
    <row r="49" spans="1:12" x14ac:dyDescent="0.2">
      <c r="A49" s="35"/>
      <c r="B49" s="6"/>
      <c r="C49" s="19"/>
      <c r="D49" s="14"/>
      <c r="E49" s="32"/>
      <c r="F49" s="31"/>
      <c r="G49" s="6"/>
      <c r="H49" s="21"/>
      <c r="I49" s="59"/>
      <c r="J49" s="19"/>
      <c r="K49" s="22"/>
      <c r="L49" s="22"/>
    </row>
    <row r="50" spans="1:12" x14ac:dyDescent="0.2">
      <c r="A50" s="35"/>
      <c r="B50" s="6"/>
      <c r="C50" s="19"/>
      <c r="D50" s="14"/>
      <c r="E50" s="32"/>
      <c r="F50" s="31"/>
      <c r="G50" s="6"/>
      <c r="H50" s="21"/>
      <c r="I50" s="59"/>
      <c r="J50" s="19"/>
      <c r="K50" s="22"/>
      <c r="L50" s="22"/>
    </row>
    <row r="51" spans="1:12" x14ac:dyDescent="0.2">
      <c r="A51" s="35"/>
      <c r="B51" s="6"/>
      <c r="C51" s="19"/>
      <c r="D51" s="14"/>
      <c r="E51" s="32"/>
      <c r="F51" s="31"/>
      <c r="G51" s="6"/>
      <c r="H51" s="21"/>
      <c r="I51" s="59"/>
      <c r="J51" s="19"/>
      <c r="K51" s="22"/>
      <c r="L51" s="22"/>
    </row>
    <row r="52" spans="1:12" x14ac:dyDescent="0.2">
      <c r="A52" s="35"/>
      <c r="B52" s="6"/>
      <c r="C52" s="19"/>
      <c r="D52" s="14"/>
      <c r="E52" s="32"/>
      <c r="F52" s="31"/>
      <c r="G52" s="6"/>
      <c r="H52" s="21"/>
      <c r="I52" s="59"/>
      <c r="J52" s="19"/>
      <c r="K52" s="22"/>
      <c r="L52" s="22"/>
    </row>
    <row r="53" spans="1:12" x14ac:dyDescent="0.2">
      <c r="A53" s="35"/>
      <c r="B53" s="6"/>
      <c r="C53" s="19"/>
      <c r="D53" s="14"/>
      <c r="E53" s="32"/>
      <c r="F53" s="31"/>
      <c r="G53" s="6"/>
      <c r="H53" s="21"/>
      <c r="I53" s="59"/>
      <c r="J53" s="19"/>
      <c r="K53" s="22"/>
      <c r="L53" s="22"/>
    </row>
    <row r="54" spans="1:12" x14ac:dyDescent="0.2">
      <c r="A54" s="35"/>
      <c r="B54" s="6"/>
      <c r="C54" s="19"/>
      <c r="D54" s="14"/>
      <c r="E54" s="32"/>
      <c r="F54" s="31"/>
      <c r="G54" s="6"/>
      <c r="H54" s="21"/>
      <c r="I54" s="59"/>
      <c r="J54" s="19"/>
      <c r="K54" s="22"/>
      <c r="L54" s="22"/>
    </row>
    <row r="55" spans="1:12" x14ac:dyDescent="0.2">
      <c r="A55" s="35"/>
      <c r="B55" s="6"/>
      <c r="C55" s="19"/>
      <c r="D55" s="14"/>
      <c r="E55" s="32"/>
      <c r="F55" s="31"/>
      <c r="G55" s="6"/>
      <c r="H55" s="21"/>
      <c r="I55" s="59"/>
      <c r="J55" s="19"/>
      <c r="K55" s="22"/>
      <c r="L55" s="22"/>
    </row>
    <row r="56" spans="1:12" x14ac:dyDescent="0.2">
      <c r="A56" s="35"/>
      <c r="B56" s="6"/>
      <c r="C56" s="19"/>
      <c r="D56" s="14"/>
      <c r="E56" s="32"/>
      <c r="F56" s="31"/>
      <c r="G56" s="6"/>
      <c r="H56" s="21"/>
      <c r="I56" s="59"/>
      <c r="J56" s="19"/>
      <c r="K56" s="22"/>
      <c r="L56" s="22"/>
    </row>
    <row r="57" spans="1:12" x14ac:dyDescent="0.2">
      <c r="A57" s="35"/>
      <c r="B57" s="6"/>
      <c r="C57" s="19"/>
      <c r="D57" s="14"/>
      <c r="E57" s="32"/>
      <c r="F57" s="31"/>
      <c r="G57" s="6"/>
      <c r="H57" s="21"/>
      <c r="I57" s="59"/>
      <c r="J57" s="19"/>
      <c r="K57" s="22"/>
      <c r="L57" s="22"/>
    </row>
    <row r="58" spans="1:12" x14ac:dyDescent="0.2">
      <c r="A58" s="35"/>
      <c r="B58" s="6"/>
      <c r="C58" s="19"/>
      <c r="D58" s="14"/>
      <c r="E58" s="32"/>
      <c r="F58" s="31"/>
      <c r="G58" s="6"/>
      <c r="H58" s="21"/>
      <c r="I58" s="59"/>
      <c r="J58" s="19"/>
      <c r="K58" s="22"/>
      <c r="L58" s="22"/>
    </row>
    <row r="59" spans="1:12" x14ac:dyDescent="0.2">
      <c r="A59" s="35"/>
      <c r="B59" s="6"/>
      <c r="C59" s="19"/>
      <c r="D59" s="14"/>
      <c r="E59" s="32"/>
      <c r="F59" s="31"/>
      <c r="G59" s="6"/>
      <c r="H59" s="21"/>
      <c r="I59" s="59"/>
      <c r="J59" s="19"/>
      <c r="K59" s="22"/>
      <c r="L59" s="22"/>
    </row>
    <row r="60" spans="1:12" x14ac:dyDescent="0.2">
      <c r="A60" s="35"/>
      <c r="B60" s="6"/>
      <c r="C60" s="19"/>
      <c r="D60" s="14"/>
      <c r="E60" s="32"/>
      <c r="F60" s="31"/>
      <c r="G60" s="6"/>
      <c r="H60" s="21"/>
      <c r="I60" s="59"/>
      <c r="J60" s="19"/>
      <c r="K60" s="22"/>
      <c r="L60" s="22"/>
    </row>
    <row r="61" spans="1:12" x14ac:dyDescent="0.2">
      <c r="A61" s="35"/>
      <c r="B61" s="6"/>
      <c r="C61" s="19"/>
      <c r="D61" s="14"/>
      <c r="E61" s="32"/>
      <c r="F61" s="31"/>
      <c r="G61" s="6"/>
      <c r="H61" s="21"/>
      <c r="I61" s="59"/>
      <c r="J61" s="19"/>
      <c r="K61" s="22"/>
      <c r="L61" s="22"/>
    </row>
    <row r="62" spans="1:12" x14ac:dyDescent="0.2">
      <c r="A62" s="35"/>
      <c r="B62" s="6"/>
      <c r="C62" s="19"/>
      <c r="D62" s="14"/>
      <c r="E62" s="32"/>
      <c r="F62" s="31"/>
      <c r="G62" s="6"/>
      <c r="H62" s="21"/>
      <c r="I62" s="59"/>
      <c r="J62" s="19"/>
      <c r="K62" s="22"/>
      <c r="L62" s="22"/>
    </row>
    <row r="63" spans="1:12" x14ac:dyDescent="0.2">
      <c r="A63" s="35"/>
      <c r="B63" s="6"/>
      <c r="C63" s="19"/>
      <c r="D63" s="14"/>
      <c r="E63" s="32"/>
      <c r="F63" s="31"/>
      <c r="G63" s="6"/>
      <c r="H63" s="21"/>
      <c r="I63" s="59"/>
      <c r="J63" s="19"/>
      <c r="K63" s="22"/>
      <c r="L63" s="22"/>
    </row>
    <row r="64" spans="1:12" x14ac:dyDescent="0.2">
      <c r="A64" s="35"/>
      <c r="B64" s="6"/>
      <c r="C64" s="19"/>
      <c r="D64" s="14"/>
      <c r="E64" s="32"/>
      <c r="F64" s="31"/>
      <c r="G64" s="6"/>
      <c r="H64" s="21"/>
      <c r="I64" s="59"/>
      <c r="J64" s="19"/>
      <c r="K64" s="22"/>
      <c r="L64" s="22"/>
    </row>
    <row r="65" spans="1:12" x14ac:dyDescent="0.2">
      <c r="A65" s="35"/>
      <c r="B65" s="6"/>
      <c r="C65" s="19"/>
      <c r="D65" s="14"/>
      <c r="E65" s="32"/>
      <c r="F65" s="31"/>
      <c r="G65" s="6"/>
      <c r="H65" s="21"/>
      <c r="I65" s="59"/>
      <c r="J65" s="19"/>
      <c r="K65" s="22"/>
      <c r="L65" s="22"/>
    </row>
    <row r="66" spans="1:12" x14ac:dyDescent="0.2">
      <c r="A66" s="35"/>
      <c r="B66" s="6"/>
      <c r="C66" s="19"/>
      <c r="D66" s="14"/>
      <c r="E66" s="32"/>
      <c r="F66" s="31"/>
      <c r="G66" s="6"/>
      <c r="H66" s="21"/>
      <c r="I66" s="59"/>
      <c r="J66" s="19"/>
      <c r="K66" s="22"/>
      <c r="L66" s="22"/>
    </row>
    <row r="67" spans="1:12" x14ac:dyDescent="0.2">
      <c r="A67" s="35"/>
      <c r="B67" s="6"/>
      <c r="C67" s="19"/>
      <c r="D67" s="14"/>
      <c r="E67" s="32"/>
      <c r="F67" s="31"/>
      <c r="G67" s="6"/>
      <c r="H67" s="21"/>
      <c r="I67" s="59"/>
      <c r="J67" s="19"/>
      <c r="K67" s="22"/>
      <c r="L67" s="22"/>
    </row>
    <row r="68" spans="1:12" x14ac:dyDescent="0.2">
      <c r="A68" s="35"/>
      <c r="B68" s="6"/>
      <c r="C68" s="19"/>
      <c r="D68" s="14"/>
      <c r="E68" s="32"/>
      <c r="F68" s="31"/>
      <c r="G68" s="6"/>
      <c r="H68" s="21"/>
      <c r="I68" s="59"/>
      <c r="J68" s="19"/>
      <c r="K68" s="22"/>
      <c r="L68" s="22"/>
    </row>
    <row r="69" spans="1:12" x14ac:dyDescent="0.2">
      <c r="A69" s="35"/>
      <c r="B69" s="6"/>
      <c r="C69" s="19"/>
      <c r="D69" s="14"/>
      <c r="E69" s="32"/>
      <c r="F69" s="31"/>
      <c r="G69" s="6"/>
      <c r="H69" s="21"/>
      <c r="I69" s="59"/>
      <c r="J69" s="19"/>
      <c r="K69" s="22"/>
      <c r="L69" s="22"/>
    </row>
    <row r="70" spans="1:12" x14ac:dyDescent="0.2">
      <c r="A70" s="35"/>
      <c r="B70" s="6"/>
      <c r="C70" s="19"/>
      <c r="D70" s="14"/>
      <c r="E70" s="32"/>
      <c r="F70" s="31"/>
      <c r="G70" s="6"/>
      <c r="H70" s="21"/>
      <c r="I70" s="59"/>
      <c r="J70" s="19"/>
      <c r="K70" s="22"/>
      <c r="L70" s="22"/>
    </row>
    <row r="71" spans="1:12" x14ac:dyDescent="0.2">
      <c r="A71" s="35"/>
      <c r="B71" s="6"/>
      <c r="C71" s="19"/>
      <c r="D71" s="14"/>
      <c r="E71" s="32"/>
      <c r="F71" s="31"/>
      <c r="G71" s="6"/>
      <c r="H71" s="21"/>
      <c r="I71" s="59"/>
      <c r="J71" s="19"/>
      <c r="K71" s="22"/>
      <c r="L71" s="22"/>
    </row>
    <row r="72" spans="1:12" x14ac:dyDescent="0.2">
      <c r="A72" s="35"/>
      <c r="B72" s="6"/>
      <c r="C72" s="19"/>
      <c r="D72" s="14"/>
      <c r="E72" s="32"/>
      <c r="F72" s="31"/>
      <c r="G72" s="6"/>
      <c r="H72" s="21"/>
      <c r="I72" s="59"/>
      <c r="J72" s="19"/>
      <c r="K72" s="22"/>
      <c r="L72" s="22"/>
    </row>
    <row r="73" spans="1:12" x14ac:dyDescent="0.2">
      <c r="A73" s="35"/>
      <c r="B73" s="6"/>
      <c r="C73" s="19"/>
      <c r="D73" s="14"/>
      <c r="E73" s="32"/>
      <c r="F73" s="31"/>
      <c r="G73" s="6"/>
      <c r="H73" s="21"/>
      <c r="I73" s="59"/>
      <c r="J73" s="19"/>
      <c r="K73" s="22"/>
      <c r="L73" s="22"/>
    </row>
    <row r="74" spans="1:12" x14ac:dyDescent="0.2">
      <c r="A74" s="35"/>
      <c r="B74" s="6"/>
      <c r="C74" s="19"/>
      <c r="D74" s="14"/>
      <c r="E74" s="32"/>
      <c r="F74" s="31"/>
      <c r="G74" s="6"/>
      <c r="H74" s="21"/>
      <c r="I74" s="59"/>
      <c r="J74" s="19"/>
      <c r="K74" s="22"/>
      <c r="L74" s="22"/>
    </row>
    <row r="75" spans="1:12" x14ac:dyDescent="0.2">
      <c r="A75" s="35"/>
      <c r="B75" s="6"/>
      <c r="C75" s="19"/>
      <c r="D75" s="14"/>
      <c r="E75" s="32"/>
      <c r="F75" s="31"/>
      <c r="G75" s="6"/>
      <c r="H75" s="21"/>
      <c r="I75" s="59"/>
      <c r="J75" s="19"/>
      <c r="K75" s="22"/>
      <c r="L75" s="22"/>
    </row>
    <row r="76" spans="1:12" x14ac:dyDescent="0.2">
      <c r="A76" s="35"/>
      <c r="B76" s="6"/>
      <c r="C76" s="19"/>
      <c r="D76" s="14"/>
      <c r="E76" s="32"/>
      <c r="F76" s="31"/>
      <c r="G76" s="6"/>
      <c r="H76" s="21"/>
      <c r="I76" s="59"/>
      <c r="J76" s="19"/>
      <c r="K76" s="22"/>
      <c r="L76" s="22"/>
    </row>
    <row r="77" spans="1:12" x14ac:dyDescent="0.2">
      <c r="A77" s="35"/>
      <c r="B77" s="6"/>
      <c r="C77" s="19"/>
      <c r="D77" s="14"/>
      <c r="E77" s="32"/>
      <c r="F77" s="31"/>
      <c r="G77" s="6"/>
      <c r="H77" s="21"/>
      <c r="I77" s="59"/>
      <c r="J77" s="19"/>
      <c r="K77" s="22"/>
      <c r="L77" s="22"/>
    </row>
    <row r="78" spans="1:12" x14ac:dyDescent="0.2">
      <c r="A78" s="35"/>
      <c r="B78" s="6"/>
      <c r="C78" s="19"/>
      <c r="D78" s="14"/>
      <c r="E78" s="32"/>
      <c r="F78" s="31"/>
      <c r="G78" s="6"/>
      <c r="H78" s="21"/>
      <c r="I78" s="59"/>
      <c r="J78" s="19"/>
      <c r="K78" s="22"/>
      <c r="L78" s="22"/>
    </row>
    <row r="79" spans="1:12" x14ac:dyDescent="0.2">
      <c r="A79" s="35"/>
      <c r="B79" s="6"/>
      <c r="C79" s="19"/>
      <c r="D79" s="14"/>
      <c r="E79" s="32"/>
      <c r="F79" s="31"/>
      <c r="G79" s="6"/>
      <c r="H79" s="21"/>
      <c r="I79" s="59"/>
      <c r="J79" s="19"/>
      <c r="K79" s="22"/>
      <c r="L79" s="22"/>
    </row>
    <row r="80" spans="1:12" x14ac:dyDescent="0.2">
      <c r="A80" s="35"/>
      <c r="B80" s="6"/>
      <c r="C80" s="19"/>
      <c r="D80" s="14"/>
      <c r="E80" s="32"/>
      <c r="F80" s="31"/>
      <c r="G80" s="6"/>
      <c r="H80" s="21"/>
      <c r="I80" s="59"/>
      <c r="J80" s="19"/>
      <c r="K80" s="22"/>
      <c r="L80" s="22"/>
    </row>
    <row r="81" spans="1:12" x14ac:dyDescent="0.2">
      <c r="A81" s="35"/>
      <c r="B81" s="6"/>
      <c r="C81" s="19"/>
      <c r="D81" s="14"/>
      <c r="E81" s="32"/>
      <c r="F81" s="31"/>
      <c r="G81" s="6"/>
      <c r="H81" s="21"/>
      <c r="I81" s="59"/>
      <c r="J81" s="19"/>
      <c r="K81" s="22"/>
      <c r="L81" s="22"/>
    </row>
    <row r="82" spans="1:12" x14ac:dyDescent="0.2">
      <c r="A82" s="35"/>
      <c r="B82" s="6"/>
      <c r="C82" s="19"/>
      <c r="D82" s="14"/>
      <c r="E82" s="32"/>
      <c r="F82" s="31"/>
      <c r="G82" s="6"/>
      <c r="H82" s="21"/>
      <c r="I82" s="59"/>
      <c r="J82" s="19"/>
      <c r="K82" s="22"/>
      <c r="L82" s="22"/>
    </row>
    <row r="83" spans="1:12" x14ac:dyDescent="0.2">
      <c r="A83" s="35"/>
      <c r="B83" s="6"/>
      <c r="C83" s="19"/>
      <c r="D83" s="14"/>
      <c r="E83" s="32"/>
      <c r="F83" s="31"/>
      <c r="G83" s="6"/>
      <c r="H83" s="21"/>
      <c r="I83" s="59"/>
      <c r="J83" s="19"/>
      <c r="K83" s="22"/>
      <c r="L83" s="22"/>
    </row>
    <row r="84" spans="1:12" x14ac:dyDescent="0.2">
      <c r="A84" s="35"/>
      <c r="B84" s="6"/>
      <c r="C84" s="19"/>
      <c r="D84" s="14"/>
      <c r="E84" s="32"/>
      <c r="F84" s="31"/>
      <c r="G84" s="6"/>
      <c r="H84" s="21"/>
      <c r="I84" s="59"/>
      <c r="J84" s="19"/>
      <c r="K84" s="22"/>
      <c r="L84" s="22"/>
    </row>
    <row r="85" spans="1:12" x14ac:dyDescent="0.2">
      <c r="A85" s="35"/>
      <c r="B85" s="6"/>
      <c r="C85" s="19"/>
      <c r="D85" s="14"/>
      <c r="E85" s="32"/>
      <c r="F85" s="31"/>
      <c r="G85" s="6"/>
      <c r="H85" s="21"/>
      <c r="I85" s="59"/>
      <c r="J85" s="19"/>
      <c r="K85" s="22"/>
      <c r="L85" s="22"/>
    </row>
    <row r="86" spans="1:12" x14ac:dyDescent="0.2">
      <c r="A86" s="35"/>
      <c r="B86" s="6"/>
      <c r="C86" s="19"/>
      <c r="D86" s="14"/>
      <c r="E86" s="32"/>
      <c r="F86" s="31"/>
      <c r="G86" s="6"/>
      <c r="H86" s="21"/>
      <c r="I86" s="59"/>
      <c r="J86" s="19"/>
      <c r="K86" s="22"/>
      <c r="L86" s="22"/>
    </row>
    <row r="87" spans="1:12" x14ac:dyDescent="0.2">
      <c r="A87" s="35"/>
      <c r="B87" s="6"/>
      <c r="C87" s="19"/>
      <c r="D87" s="14"/>
      <c r="E87" s="32"/>
      <c r="F87" s="31"/>
      <c r="G87" s="6"/>
      <c r="H87" s="21"/>
      <c r="I87" s="59"/>
      <c r="J87" s="19"/>
      <c r="K87" s="22"/>
      <c r="L87" s="22"/>
    </row>
    <row r="88" spans="1:12" x14ac:dyDescent="0.2">
      <c r="A88" s="35"/>
      <c r="B88" s="6"/>
      <c r="C88" s="19"/>
      <c r="D88" s="14"/>
      <c r="E88" s="32"/>
      <c r="F88" s="31"/>
      <c r="G88" s="6"/>
      <c r="H88" s="21"/>
      <c r="I88" s="59"/>
      <c r="J88" s="19"/>
      <c r="K88" s="22"/>
      <c r="L88" s="22"/>
    </row>
    <row r="89" spans="1:12" x14ac:dyDescent="0.2">
      <c r="A89" s="35"/>
      <c r="B89" s="6"/>
      <c r="C89" s="19"/>
      <c r="D89" s="14"/>
      <c r="E89" s="32"/>
      <c r="F89" s="31"/>
      <c r="G89" s="6"/>
      <c r="H89" s="21"/>
      <c r="I89" s="59"/>
      <c r="J89" s="19"/>
      <c r="K89" s="22"/>
      <c r="L89" s="22"/>
    </row>
    <row r="90" spans="1:12" x14ac:dyDescent="0.2">
      <c r="A90" s="35"/>
      <c r="B90" s="6"/>
      <c r="C90" s="19"/>
      <c r="D90" s="14"/>
      <c r="E90" s="32"/>
      <c r="F90" s="31"/>
      <c r="G90" s="6"/>
      <c r="H90" s="21"/>
      <c r="I90" s="59"/>
      <c r="J90" s="19"/>
      <c r="K90" s="22"/>
      <c r="L90" s="22"/>
    </row>
    <row r="91" spans="1:12" x14ac:dyDescent="0.2">
      <c r="A91" s="35"/>
      <c r="B91" s="6"/>
      <c r="C91" s="19"/>
      <c r="D91" s="14"/>
      <c r="E91" s="32"/>
      <c r="F91" s="31"/>
      <c r="G91" s="6"/>
      <c r="H91" s="21"/>
      <c r="I91" s="59"/>
      <c r="J91" s="19"/>
      <c r="K91" s="22"/>
      <c r="L91" s="22"/>
    </row>
    <row r="92" spans="1:12" x14ac:dyDescent="0.2">
      <c r="A92" s="35"/>
      <c r="B92" s="6"/>
      <c r="C92" s="19"/>
      <c r="D92" s="14"/>
      <c r="E92" s="32"/>
      <c r="F92" s="31"/>
      <c r="G92" s="6"/>
      <c r="H92" s="21"/>
      <c r="I92" s="59"/>
      <c r="J92" s="19"/>
      <c r="K92" s="22"/>
      <c r="L92" s="22"/>
    </row>
    <row r="93" spans="1:12" x14ac:dyDescent="0.2">
      <c r="A93" s="35"/>
      <c r="B93" s="6"/>
      <c r="C93" s="19"/>
      <c r="D93" s="14"/>
      <c r="E93" s="32"/>
      <c r="F93" s="31"/>
      <c r="G93" s="6"/>
      <c r="H93" s="21"/>
      <c r="I93" s="59"/>
      <c r="J93" s="19"/>
      <c r="K93" s="22"/>
      <c r="L93" s="22"/>
    </row>
    <row r="94" spans="1:12" x14ac:dyDescent="0.2">
      <c r="A94" s="35"/>
      <c r="B94" s="6"/>
      <c r="C94" s="19"/>
      <c r="D94" s="14"/>
      <c r="E94" s="32"/>
      <c r="F94" s="31"/>
      <c r="G94" s="6"/>
      <c r="H94" s="21"/>
      <c r="I94" s="59"/>
      <c r="J94" s="19"/>
      <c r="K94" s="22"/>
      <c r="L94" s="22"/>
    </row>
    <row r="95" spans="1:12" x14ac:dyDescent="0.2">
      <c r="A95" s="35"/>
      <c r="B95" s="6"/>
      <c r="C95" s="19"/>
      <c r="D95" s="14"/>
      <c r="E95" s="32"/>
      <c r="F95" s="31"/>
      <c r="G95" s="6"/>
      <c r="H95" s="21"/>
      <c r="I95" s="59"/>
      <c r="J95" s="19"/>
      <c r="K95" s="22"/>
      <c r="L95" s="22"/>
    </row>
    <row r="96" spans="1:12" x14ac:dyDescent="0.2">
      <c r="A96" s="35"/>
      <c r="B96" s="6"/>
      <c r="C96" s="19"/>
      <c r="D96" s="14"/>
      <c r="E96" s="32"/>
      <c r="F96" s="31"/>
      <c r="G96" s="6"/>
      <c r="H96" s="21"/>
      <c r="I96" s="59"/>
      <c r="J96" s="19"/>
      <c r="K96" s="22"/>
      <c r="L96" s="22"/>
    </row>
    <row r="97" spans="1:12" x14ac:dyDescent="0.2">
      <c r="A97" s="35"/>
      <c r="B97" s="6"/>
      <c r="C97" s="19"/>
      <c r="D97" s="14"/>
      <c r="E97" s="32"/>
      <c r="F97" s="31"/>
      <c r="G97" s="6"/>
      <c r="H97" s="21"/>
      <c r="I97" s="59"/>
      <c r="J97" s="19"/>
      <c r="K97" s="22"/>
      <c r="L97" s="22"/>
    </row>
    <row r="98" spans="1:12" x14ac:dyDescent="0.2">
      <c r="A98" s="35"/>
      <c r="B98" s="6"/>
      <c r="C98" s="19"/>
      <c r="D98" s="14"/>
      <c r="E98" s="32"/>
      <c r="F98" s="31"/>
      <c r="G98" s="6"/>
      <c r="H98" s="21"/>
      <c r="I98" s="59"/>
      <c r="J98" s="19"/>
      <c r="K98" s="22"/>
      <c r="L98" s="22"/>
    </row>
    <row r="99" spans="1:12" x14ac:dyDescent="0.2">
      <c r="A99" s="35"/>
      <c r="B99" s="6"/>
      <c r="C99" s="19"/>
      <c r="D99" s="14"/>
      <c r="E99" s="32"/>
      <c r="F99" s="31"/>
      <c r="G99" s="6"/>
      <c r="H99" s="21"/>
      <c r="I99" s="59"/>
      <c r="J99" s="19"/>
      <c r="K99" s="22"/>
      <c r="L99" s="22"/>
    </row>
    <row r="100" spans="1:12" x14ac:dyDescent="0.2">
      <c r="A100" s="35"/>
      <c r="B100" s="6"/>
      <c r="C100" s="19"/>
      <c r="D100" s="14"/>
      <c r="E100" s="32"/>
      <c r="F100" s="31"/>
      <c r="G100" s="6"/>
      <c r="H100" s="21"/>
      <c r="I100" s="59"/>
      <c r="J100" s="19"/>
      <c r="K100" s="22"/>
      <c r="L100" s="22"/>
    </row>
    <row r="101" spans="1:12" x14ac:dyDescent="0.2">
      <c r="A101" s="35"/>
      <c r="B101" s="6"/>
      <c r="C101" s="19"/>
      <c r="D101" s="14"/>
      <c r="E101" s="32"/>
      <c r="F101" s="31"/>
      <c r="G101" s="6"/>
      <c r="H101" s="21"/>
      <c r="I101" s="59"/>
      <c r="J101" s="19"/>
      <c r="K101" s="22"/>
      <c r="L101" s="22"/>
    </row>
    <row r="102" spans="1:12" x14ac:dyDescent="0.2">
      <c r="A102" s="35"/>
      <c r="B102" s="6"/>
      <c r="C102" s="19"/>
      <c r="D102" s="14"/>
      <c r="E102" s="32"/>
      <c r="F102" s="31"/>
      <c r="G102" s="6"/>
      <c r="H102" s="21"/>
      <c r="I102" s="59"/>
      <c r="J102" s="19"/>
      <c r="K102" s="22"/>
      <c r="L102" s="22"/>
    </row>
    <row r="103" spans="1:12" x14ac:dyDescent="0.2">
      <c r="A103" s="35"/>
      <c r="B103" s="6"/>
      <c r="C103" s="19"/>
      <c r="D103" s="14"/>
      <c r="E103" s="32"/>
      <c r="F103" s="31"/>
      <c r="G103" s="6"/>
      <c r="H103" s="21"/>
      <c r="I103" s="59"/>
      <c r="J103" s="19"/>
      <c r="K103" s="22"/>
      <c r="L103" s="22"/>
    </row>
    <row r="104" spans="1:12" x14ac:dyDescent="0.2">
      <c r="A104" s="35"/>
      <c r="B104" s="6"/>
      <c r="C104" s="19"/>
      <c r="D104" s="14"/>
      <c r="E104" s="32"/>
      <c r="F104" s="31"/>
      <c r="G104" s="6"/>
      <c r="H104" s="21"/>
      <c r="I104" s="59"/>
      <c r="J104" s="19"/>
      <c r="K104" s="22"/>
      <c r="L104" s="22"/>
    </row>
    <row r="105" spans="1:12" x14ac:dyDescent="0.2">
      <c r="A105" s="35"/>
      <c r="B105" s="6"/>
      <c r="C105" s="19"/>
      <c r="D105" s="14"/>
      <c r="E105" s="32"/>
      <c r="F105" s="31"/>
      <c r="G105" s="6"/>
      <c r="H105" s="21"/>
      <c r="I105" s="59"/>
      <c r="J105" s="19"/>
      <c r="K105" s="22"/>
      <c r="L105" s="22"/>
    </row>
    <row r="106" spans="1:12" x14ac:dyDescent="0.2">
      <c r="A106" s="35"/>
      <c r="B106" s="6"/>
      <c r="C106" s="19"/>
      <c r="D106" s="14"/>
      <c r="E106" s="32"/>
      <c r="F106" s="31"/>
      <c r="G106" s="6"/>
      <c r="H106" s="21"/>
      <c r="I106" s="59"/>
      <c r="J106" s="19"/>
      <c r="K106" s="22"/>
      <c r="L106" s="22"/>
    </row>
    <row r="107" spans="1:12" x14ac:dyDescent="0.2">
      <c r="A107" s="35"/>
      <c r="B107" s="6"/>
      <c r="C107" s="19"/>
      <c r="D107" s="14"/>
      <c r="E107" s="32"/>
      <c r="F107" s="31"/>
      <c r="G107" s="6"/>
      <c r="H107" s="21"/>
      <c r="I107" s="59"/>
      <c r="J107" s="19"/>
      <c r="K107" s="22"/>
      <c r="L107" s="22"/>
    </row>
    <row r="108" spans="1:12" x14ac:dyDescent="0.2">
      <c r="A108" s="35"/>
      <c r="B108" s="6"/>
      <c r="C108" s="19"/>
      <c r="D108" s="14"/>
      <c r="E108" s="32"/>
      <c r="F108" s="31"/>
      <c r="G108" s="6"/>
      <c r="H108" s="21"/>
      <c r="I108" s="59"/>
      <c r="J108" s="19"/>
      <c r="K108" s="22"/>
      <c r="L108" s="22"/>
    </row>
    <row r="109" spans="1:12" x14ac:dyDescent="0.2">
      <c r="A109" s="35"/>
      <c r="B109" s="6"/>
      <c r="C109" s="19"/>
      <c r="D109" s="14"/>
      <c r="E109" s="32"/>
      <c r="F109" s="31"/>
      <c r="G109" s="6"/>
      <c r="H109" s="21"/>
      <c r="I109" s="59"/>
      <c r="J109" s="19"/>
      <c r="K109" s="22"/>
      <c r="L109" s="22"/>
    </row>
    <row r="110" spans="1:12" x14ac:dyDescent="0.2">
      <c r="A110" s="35"/>
      <c r="B110" s="6"/>
      <c r="C110" s="19"/>
      <c r="D110" s="14"/>
      <c r="E110" s="32"/>
      <c r="F110" s="31"/>
      <c r="G110" s="6"/>
      <c r="H110" s="21"/>
      <c r="I110" s="59"/>
      <c r="J110" s="19"/>
      <c r="K110" s="22"/>
      <c r="L110" s="22"/>
    </row>
    <row r="111" spans="1:12" x14ac:dyDescent="0.2">
      <c r="A111" s="35"/>
      <c r="B111" s="6"/>
      <c r="C111" s="19"/>
      <c r="D111" s="14"/>
      <c r="E111" s="32"/>
      <c r="F111" s="31"/>
      <c r="G111" s="6"/>
      <c r="H111" s="21"/>
      <c r="I111" s="59"/>
      <c r="J111" s="19"/>
      <c r="K111" s="22"/>
      <c r="L111" s="22"/>
    </row>
    <row r="112" spans="1:12" x14ac:dyDescent="0.2">
      <c r="A112" s="35"/>
      <c r="B112" s="6"/>
      <c r="C112" s="19"/>
      <c r="D112" s="14"/>
      <c r="E112" s="32"/>
      <c r="F112" s="31"/>
      <c r="G112" s="6"/>
      <c r="H112" s="21"/>
      <c r="I112" s="59"/>
      <c r="J112" s="19"/>
      <c r="K112" s="22"/>
      <c r="L112" s="22"/>
    </row>
    <row r="113" spans="1:12" x14ac:dyDescent="0.2">
      <c r="A113" s="35"/>
      <c r="B113" s="6"/>
      <c r="C113" s="19"/>
      <c r="D113" s="14"/>
      <c r="E113" s="32"/>
      <c r="F113" s="31"/>
      <c r="G113" s="6"/>
      <c r="H113" s="21"/>
      <c r="I113" s="59"/>
      <c r="J113" s="19"/>
      <c r="K113" s="22"/>
      <c r="L113" s="22"/>
    </row>
    <row r="114" spans="1:12" x14ac:dyDescent="0.2">
      <c r="A114" s="35"/>
      <c r="B114" s="6"/>
      <c r="C114" s="19"/>
      <c r="D114" s="14"/>
      <c r="E114" s="32"/>
      <c r="F114" s="31"/>
      <c r="G114" s="6"/>
      <c r="H114" s="21"/>
      <c r="I114" s="59"/>
      <c r="J114" s="19"/>
      <c r="K114" s="22"/>
      <c r="L114" s="22"/>
    </row>
    <row r="115" spans="1:12" x14ac:dyDescent="0.2">
      <c r="A115" s="35"/>
      <c r="B115" s="6"/>
      <c r="C115" s="19"/>
      <c r="D115" s="14"/>
      <c r="E115" s="32"/>
      <c r="F115" s="31"/>
      <c r="G115" s="6"/>
      <c r="H115" s="21"/>
      <c r="I115" s="59"/>
      <c r="J115" s="19"/>
      <c r="K115" s="22"/>
      <c r="L115" s="22"/>
    </row>
    <row r="116" spans="1:12" x14ac:dyDescent="0.2">
      <c r="A116" s="35"/>
      <c r="B116" s="6"/>
      <c r="C116" s="19"/>
      <c r="D116" s="14"/>
      <c r="E116" s="32"/>
      <c r="F116" s="31"/>
      <c r="G116" s="6"/>
      <c r="H116" s="21"/>
      <c r="I116" s="59"/>
      <c r="J116" s="19"/>
      <c r="K116" s="22"/>
      <c r="L116" s="22"/>
    </row>
    <row r="117" spans="1:12" x14ac:dyDescent="0.2">
      <c r="A117" s="35"/>
      <c r="B117" s="6"/>
      <c r="C117" s="19"/>
      <c r="D117" s="14"/>
      <c r="E117" s="32"/>
      <c r="F117" s="31"/>
      <c r="G117" s="6"/>
      <c r="H117" s="21"/>
      <c r="I117" s="59"/>
      <c r="J117" s="19"/>
      <c r="K117" s="22"/>
      <c r="L117" s="22"/>
    </row>
    <row r="118" spans="1:12" x14ac:dyDescent="0.2">
      <c r="A118" s="35"/>
      <c r="B118" s="6"/>
      <c r="C118" s="19"/>
      <c r="D118" s="14"/>
      <c r="E118" s="32"/>
      <c r="F118" s="31"/>
      <c r="G118" s="6"/>
      <c r="H118" s="21"/>
      <c r="I118" s="59"/>
      <c r="J118" s="19"/>
      <c r="K118" s="22"/>
      <c r="L118" s="22"/>
    </row>
    <row r="119" spans="1:12" x14ac:dyDescent="0.2">
      <c r="A119" s="35"/>
      <c r="B119" s="6"/>
      <c r="C119" s="19"/>
      <c r="D119" s="14"/>
      <c r="E119" s="32"/>
      <c r="F119" s="31"/>
      <c r="G119" s="6"/>
      <c r="H119" s="21"/>
      <c r="I119" s="59"/>
      <c r="J119" s="19"/>
      <c r="K119" s="22"/>
      <c r="L119" s="22"/>
    </row>
    <row r="120" spans="1:12" x14ac:dyDescent="0.2">
      <c r="A120" s="35"/>
      <c r="B120" s="6"/>
      <c r="C120" s="19"/>
      <c r="D120" s="14"/>
      <c r="E120" s="32"/>
      <c r="F120" s="31"/>
      <c r="G120" s="6"/>
      <c r="H120" s="21"/>
      <c r="I120" s="59"/>
      <c r="J120" s="19"/>
      <c r="K120" s="22"/>
      <c r="L120" s="22"/>
    </row>
    <row r="121" spans="1:12" x14ac:dyDescent="0.2">
      <c r="A121" s="35"/>
      <c r="B121" s="6"/>
      <c r="C121" s="19"/>
      <c r="D121" s="14"/>
      <c r="E121" s="32"/>
      <c r="F121" s="31"/>
      <c r="G121" s="6"/>
      <c r="H121" s="21"/>
      <c r="I121" s="59"/>
      <c r="J121" s="19"/>
      <c r="K121" s="22"/>
      <c r="L121" s="22"/>
    </row>
    <row r="122" spans="1:12" x14ac:dyDescent="0.2">
      <c r="A122" s="35"/>
      <c r="B122" s="6"/>
      <c r="C122" s="19"/>
      <c r="D122" s="14"/>
      <c r="E122" s="32"/>
      <c r="F122" s="31"/>
      <c r="G122" s="6"/>
      <c r="H122" s="21"/>
      <c r="I122" s="59"/>
      <c r="J122" s="19"/>
      <c r="K122" s="22"/>
      <c r="L122" s="22"/>
    </row>
    <row r="123" spans="1:12" x14ac:dyDescent="0.2">
      <c r="A123" s="35"/>
      <c r="B123" s="6"/>
      <c r="C123" s="19"/>
      <c r="D123" s="14"/>
      <c r="E123" s="32"/>
      <c r="F123" s="31"/>
      <c r="G123" s="6"/>
      <c r="H123" s="21"/>
      <c r="I123" s="59"/>
      <c r="J123" s="19"/>
      <c r="K123" s="22"/>
      <c r="L123" s="22"/>
    </row>
    <row r="124" spans="1:12" x14ac:dyDescent="0.2">
      <c r="A124" s="35"/>
      <c r="B124" s="6"/>
      <c r="C124" s="19"/>
      <c r="D124" s="14"/>
      <c r="E124" s="32"/>
      <c r="F124" s="31"/>
      <c r="G124" s="6"/>
      <c r="H124" s="21"/>
      <c r="I124" s="59"/>
      <c r="J124" s="19"/>
      <c r="K124" s="22"/>
      <c r="L124" s="22"/>
    </row>
    <row r="125" spans="1:12" x14ac:dyDescent="0.2">
      <c r="A125" s="35"/>
      <c r="B125" s="6"/>
      <c r="C125" s="19"/>
      <c r="D125" s="14"/>
      <c r="E125" s="32"/>
      <c r="F125" s="31"/>
      <c r="G125" s="6"/>
      <c r="H125" s="21"/>
      <c r="I125" s="59"/>
      <c r="J125" s="19"/>
      <c r="K125" s="22"/>
      <c r="L125" s="22"/>
    </row>
    <row r="126" spans="1:12" x14ac:dyDescent="0.2">
      <c r="A126" s="35"/>
      <c r="B126" s="6"/>
      <c r="C126" s="19"/>
      <c r="D126" s="14"/>
      <c r="E126" s="32"/>
      <c r="F126" s="31"/>
      <c r="G126" s="6"/>
      <c r="H126" s="21"/>
      <c r="I126" s="59"/>
      <c r="J126" s="19"/>
      <c r="K126" s="22"/>
      <c r="L126" s="22"/>
    </row>
    <row r="127" spans="1:12" x14ac:dyDescent="0.2">
      <c r="A127" s="35"/>
      <c r="B127" s="6"/>
      <c r="C127" s="19"/>
      <c r="D127" s="14"/>
      <c r="E127" s="32"/>
      <c r="F127" s="31"/>
      <c r="G127" s="6"/>
      <c r="H127" s="21"/>
      <c r="I127" s="59"/>
      <c r="J127" s="19"/>
      <c r="K127" s="22"/>
      <c r="L127" s="22"/>
    </row>
    <row r="128" spans="1:12" x14ac:dyDescent="0.2">
      <c r="A128" s="35"/>
      <c r="B128" s="6"/>
      <c r="C128" s="19"/>
      <c r="D128" s="14"/>
      <c r="E128" s="32"/>
      <c r="F128" s="31"/>
      <c r="G128" s="6"/>
      <c r="H128" s="21"/>
      <c r="I128" s="59"/>
      <c r="J128" s="19"/>
      <c r="K128" s="22"/>
      <c r="L128" s="22"/>
    </row>
    <row r="129" spans="1:12" x14ac:dyDescent="0.2">
      <c r="A129" s="35"/>
      <c r="B129" s="6"/>
      <c r="C129" s="19"/>
      <c r="D129" s="14"/>
      <c r="E129" s="32"/>
      <c r="F129" s="31"/>
      <c r="G129" s="6"/>
      <c r="H129" s="21"/>
      <c r="I129" s="59"/>
      <c r="J129" s="19"/>
      <c r="K129" s="22"/>
      <c r="L129" s="22"/>
    </row>
    <row r="130" spans="1:12" x14ac:dyDescent="0.2">
      <c r="A130" s="35"/>
      <c r="B130" s="6"/>
      <c r="C130" s="19"/>
      <c r="D130" s="14"/>
      <c r="E130" s="32"/>
      <c r="F130" s="31"/>
      <c r="G130" s="6"/>
      <c r="H130" s="21"/>
      <c r="I130" s="59"/>
      <c r="J130" s="19"/>
      <c r="K130" s="22"/>
      <c r="L130" s="22"/>
    </row>
    <row r="131" spans="1:12" x14ac:dyDescent="0.2">
      <c r="A131" s="35"/>
      <c r="B131" s="6"/>
      <c r="C131" s="19"/>
      <c r="D131" s="14"/>
      <c r="E131" s="32"/>
      <c r="F131" s="31"/>
      <c r="G131" s="6"/>
      <c r="H131" s="21"/>
      <c r="I131" s="59"/>
      <c r="J131" s="19"/>
      <c r="K131" s="22"/>
      <c r="L131" s="22"/>
    </row>
    <row r="132" spans="1:12" x14ac:dyDescent="0.2">
      <c r="A132" s="35"/>
      <c r="B132" s="6"/>
      <c r="C132" s="19"/>
      <c r="D132" s="14"/>
      <c r="E132" s="32"/>
      <c r="F132" s="31"/>
      <c r="G132" s="6"/>
      <c r="H132" s="21"/>
      <c r="I132" s="59"/>
      <c r="J132" s="19"/>
      <c r="K132" s="22"/>
      <c r="L132" s="22"/>
    </row>
    <row r="133" spans="1:12" x14ac:dyDescent="0.2">
      <c r="A133" s="35"/>
      <c r="B133" s="6"/>
      <c r="C133" s="19"/>
      <c r="D133" s="14"/>
      <c r="E133" s="32"/>
      <c r="F133" s="31"/>
      <c r="G133" s="6"/>
      <c r="H133" s="21"/>
      <c r="I133" s="59"/>
      <c r="J133" s="19"/>
      <c r="K133" s="22"/>
      <c r="L133" s="22"/>
    </row>
    <row r="134" spans="1:12" x14ac:dyDescent="0.2">
      <c r="A134" s="35"/>
      <c r="B134" s="6"/>
      <c r="C134" s="19"/>
      <c r="D134" s="14"/>
      <c r="E134" s="32"/>
      <c r="F134" s="31"/>
      <c r="G134" s="6"/>
      <c r="H134" s="21"/>
      <c r="I134" s="59"/>
      <c r="J134" s="19"/>
      <c r="K134" s="22"/>
      <c r="L134" s="22"/>
    </row>
    <row r="135" spans="1:12" x14ac:dyDescent="0.2">
      <c r="A135" s="35"/>
      <c r="B135" s="6"/>
      <c r="C135" s="19"/>
      <c r="D135" s="14"/>
      <c r="E135" s="32"/>
      <c r="F135" s="31"/>
      <c r="G135" s="6"/>
      <c r="H135" s="21"/>
      <c r="I135" s="59"/>
      <c r="J135" s="19"/>
      <c r="K135" s="22"/>
      <c r="L135" s="22"/>
    </row>
    <row r="136" spans="1:12" x14ac:dyDescent="0.2">
      <c r="A136" s="35"/>
      <c r="B136" s="6"/>
      <c r="C136" s="19"/>
      <c r="D136" s="14"/>
      <c r="E136" s="32"/>
      <c r="F136" s="31"/>
      <c r="G136" s="6"/>
      <c r="H136" s="21"/>
      <c r="I136" s="59"/>
      <c r="J136" s="19"/>
      <c r="K136" s="22"/>
      <c r="L136" s="22"/>
    </row>
  </sheetData>
  <mergeCells count="4">
    <mergeCell ref="F1:F2"/>
    <mergeCell ref="E1:E2"/>
    <mergeCell ref="A8:L8"/>
    <mergeCell ref="A10:K10"/>
  </mergeCells>
  <phoneticPr fontId="1"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C0C1C8FC-697C-A049-85D4-1BE721EBEF93}">
          <x14:formula1>
            <xm:f>Dropdowns!$I$2:$I$15</xm:f>
          </x14:formula1>
          <xm:sqref>G4:G5 G7 G11:G136</xm:sqref>
        </x14:dataValidation>
        <x14:dataValidation type="list" allowBlank="1" showInputMessage="1" showErrorMessage="1" xr:uid="{0DDCB538-46F7-8641-90A9-666F082080B5}">
          <x14:formula1>
            <xm:f>Dropdowns!$C$2:$C$8</xm:f>
          </x14:formula1>
          <xm:sqref>B4:B5 B7 B11:B136</xm:sqref>
        </x14:dataValidation>
        <x14:dataValidation type="list" allowBlank="1" showInputMessage="1" showErrorMessage="1" xr:uid="{EAC40882-9316-9144-98E8-1234DB4542B6}">
          <x14:formula1>
            <xm:f>Dropdowns!$K$2:$K$6</xm:f>
          </x14:formula1>
          <xm:sqref>I33:I136 I4:I5 I7 I11:I31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BAEB-4AD4-044B-A36A-7E0BBCE555AC}">
  <dimension ref="A1:N144"/>
  <sheetViews>
    <sheetView showGridLines="0" topLeftCell="A11" zoomScale="120" zoomScaleNormal="120" workbookViewId="0">
      <selection activeCell="A16" sqref="A16:M18"/>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2.6640625" bestFit="1" customWidth="1"/>
    <col min="6" max="6" width="14.33203125" bestFit="1" customWidth="1"/>
    <col min="7" max="7" width="14.1640625" bestFit="1" customWidth="1"/>
    <col min="9" max="9" width="30.6640625" customWidth="1"/>
    <col min="10" max="10" width="20" customWidth="1"/>
    <col min="11" max="11" width="38.5" customWidth="1"/>
    <col min="12" max="12" width="51.83203125" customWidth="1"/>
    <col min="13" max="13" width="23.6640625" bestFit="1" customWidth="1"/>
    <col min="14" max="14" width="26.1640625" bestFit="1" customWidth="1"/>
  </cols>
  <sheetData>
    <row r="1" spans="1:14" x14ac:dyDescent="0.2">
      <c r="E1" s="68" t="s">
        <v>316</v>
      </c>
      <c r="G1" s="126">
        <v>17.05</v>
      </c>
    </row>
    <row r="2" spans="1:14" ht="16" thickBot="1" x14ac:dyDescent="0.25">
      <c r="E2" s="67">
        <v>0.13750000000000001</v>
      </c>
      <c r="G2" s="127"/>
    </row>
    <row r="3" spans="1:14" ht="16" x14ac:dyDescent="0.2">
      <c r="A3" t="s">
        <v>183</v>
      </c>
      <c r="B3" s="51" t="s">
        <v>152</v>
      </c>
      <c r="C3" s="53" t="s">
        <v>117</v>
      </c>
      <c r="D3" t="s">
        <v>526</v>
      </c>
      <c r="E3" s="52" t="s">
        <v>256</v>
      </c>
      <c r="F3" s="52" t="s">
        <v>315</v>
      </c>
      <c r="G3" s="52" t="s">
        <v>70</v>
      </c>
      <c r="H3" s="52" t="s">
        <v>154</v>
      </c>
      <c r="I3" t="s">
        <v>527</v>
      </c>
      <c r="J3" s="54" t="s">
        <v>116</v>
      </c>
      <c r="K3" s="1" t="s">
        <v>428</v>
      </c>
      <c r="L3" s="55" t="s">
        <v>113</v>
      </c>
      <c r="M3" s="55" t="s">
        <v>112</v>
      </c>
    </row>
    <row r="4" spans="1:14" ht="144" x14ac:dyDescent="0.2">
      <c r="A4" s="85" t="s">
        <v>257</v>
      </c>
      <c r="B4" s="85" t="s">
        <v>125</v>
      </c>
      <c r="C4" s="82" t="s">
        <v>7</v>
      </c>
      <c r="D4" s="82" t="s">
        <v>159</v>
      </c>
      <c r="E4" s="88">
        <f>F4*$E$2</f>
        <v>2492875</v>
      </c>
      <c r="F4" s="103">
        <v>18130000</v>
      </c>
      <c r="G4" s="99">
        <f>Table810121314[[#This Row],[Total US$ ]]*$G$1</f>
        <v>42503518.75</v>
      </c>
      <c r="H4" s="85" t="s">
        <v>142</v>
      </c>
      <c r="I4" s="82" t="s">
        <v>571</v>
      </c>
      <c r="J4" s="109" t="s">
        <v>329</v>
      </c>
      <c r="K4" s="82" t="s">
        <v>501</v>
      </c>
      <c r="L4" s="111">
        <v>44501</v>
      </c>
      <c r="M4" s="111">
        <v>46022</v>
      </c>
    </row>
    <row r="5" spans="1:14" ht="160" x14ac:dyDescent="0.2">
      <c r="A5" s="85" t="s">
        <v>258</v>
      </c>
      <c r="B5" s="85" t="s">
        <v>125</v>
      </c>
      <c r="C5" s="82" t="s">
        <v>9</v>
      </c>
      <c r="D5" s="82" t="s">
        <v>159</v>
      </c>
      <c r="E5" s="88">
        <f t="shared" ref="E5:E13" si="0">F5*$E$2</f>
        <v>3046862.5000000005</v>
      </c>
      <c r="F5" s="103">
        <v>22159000</v>
      </c>
      <c r="G5" s="99">
        <f>Table810121314[[#This Row],[Total US$ ]]*$G$1</f>
        <v>51949005.625000007</v>
      </c>
      <c r="H5" s="85" t="s">
        <v>142</v>
      </c>
      <c r="I5" s="82" t="s">
        <v>571</v>
      </c>
      <c r="J5" s="109" t="s">
        <v>329</v>
      </c>
      <c r="K5" s="82" t="s">
        <v>502</v>
      </c>
      <c r="L5" s="111">
        <v>44501</v>
      </c>
      <c r="M5" s="111">
        <v>46022</v>
      </c>
    </row>
    <row r="6" spans="1:14" ht="64" x14ac:dyDescent="0.2">
      <c r="A6" s="85" t="s">
        <v>259</v>
      </c>
      <c r="B6" s="85" t="s">
        <v>129</v>
      </c>
      <c r="C6" s="82" t="s">
        <v>16</v>
      </c>
      <c r="D6" s="82" t="s">
        <v>162</v>
      </c>
      <c r="E6" s="88">
        <f t="shared" si="0"/>
        <v>149462.5</v>
      </c>
      <c r="F6" s="103">
        <v>1087000</v>
      </c>
      <c r="G6" s="99">
        <f>Table810121314[[#This Row],[Total US$ ]]*$G$1</f>
        <v>2548335.625</v>
      </c>
      <c r="H6" s="85" t="s">
        <v>142</v>
      </c>
      <c r="I6" s="96" t="s">
        <v>572</v>
      </c>
      <c r="J6" s="109" t="s">
        <v>329</v>
      </c>
      <c r="K6" s="82" t="s">
        <v>503</v>
      </c>
      <c r="L6" s="111">
        <v>44562</v>
      </c>
      <c r="M6" s="111">
        <v>45657</v>
      </c>
    </row>
    <row r="7" spans="1:14" ht="96" x14ac:dyDescent="0.2">
      <c r="A7" s="85" t="s">
        <v>260</v>
      </c>
      <c r="B7" s="85" t="s">
        <v>129</v>
      </c>
      <c r="C7" s="82" t="s">
        <v>16</v>
      </c>
      <c r="D7" s="82" t="s">
        <v>162</v>
      </c>
      <c r="E7" s="88">
        <f t="shared" si="0"/>
        <v>366162.50000000006</v>
      </c>
      <c r="F7" s="103">
        <v>2663000</v>
      </c>
      <c r="G7" s="99">
        <f>Table810121314[[#This Row],[Total US$ ]]*$G$1</f>
        <v>6243070.6250000009</v>
      </c>
      <c r="H7" s="85" t="s">
        <v>142</v>
      </c>
      <c r="I7" s="96" t="s">
        <v>573</v>
      </c>
      <c r="J7" s="109" t="s">
        <v>329</v>
      </c>
      <c r="K7" s="82" t="s">
        <v>504</v>
      </c>
      <c r="L7" s="111">
        <v>44562</v>
      </c>
      <c r="M7" s="111">
        <v>45657</v>
      </c>
    </row>
    <row r="8" spans="1:14" ht="128" x14ac:dyDescent="0.2">
      <c r="A8" s="85" t="s">
        <v>261</v>
      </c>
      <c r="B8" s="85" t="s">
        <v>129</v>
      </c>
      <c r="C8" s="82" t="s">
        <v>16</v>
      </c>
      <c r="D8" s="82" t="s">
        <v>163</v>
      </c>
      <c r="E8" s="88">
        <f t="shared" si="0"/>
        <v>2062500.0000000002</v>
      </c>
      <c r="F8" s="103">
        <v>15000000</v>
      </c>
      <c r="G8" s="99">
        <f>Table810121314[[#This Row],[Total US$ ]]*$G$1</f>
        <v>35165625.000000007</v>
      </c>
      <c r="H8" s="85" t="s">
        <v>142</v>
      </c>
      <c r="I8" s="96" t="s">
        <v>574</v>
      </c>
      <c r="J8" s="109" t="s">
        <v>329</v>
      </c>
      <c r="K8" s="82" t="s">
        <v>505</v>
      </c>
      <c r="L8" s="111">
        <v>44927</v>
      </c>
      <c r="M8" s="111">
        <v>46022</v>
      </c>
    </row>
    <row r="9" spans="1:14" ht="80" x14ac:dyDescent="0.2">
      <c r="A9" s="85" t="s">
        <v>262</v>
      </c>
      <c r="B9" s="85" t="s">
        <v>156</v>
      </c>
      <c r="C9" s="82" t="s">
        <v>26</v>
      </c>
      <c r="D9" s="81" t="s">
        <v>59</v>
      </c>
      <c r="E9" s="88">
        <f t="shared" si="0"/>
        <v>2895337.5000000005</v>
      </c>
      <c r="F9" s="103">
        <v>21057000</v>
      </c>
      <c r="G9" s="99">
        <f>Table810121314[[#This Row],[Total US$ ]]*$G$1</f>
        <v>49365504.375000007</v>
      </c>
      <c r="H9" s="85" t="s">
        <v>142</v>
      </c>
      <c r="I9" s="96" t="s">
        <v>98</v>
      </c>
      <c r="J9" s="109" t="s">
        <v>329</v>
      </c>
      <c r="K9" s="82" t="s">
        <v>506</v>
      </c>
      <c r="L9" s="111">
        <v>44562</v>
      </c>
      <c r="M9" s="111">
        <v>46387</v>
      </c>
    </row>
    <row r="10" spans="1:14" ht="80" x14ac:dyDescent="0.2">
      <c r="A10" s="85" t="s">
        <v>263</v>
      </c>
      <c r="B10" s="85" t="s">
        <v>128</v>
      </c>
      <c r="C10" s="82" t="s">
        <v>51</v>
      </c>
      <c r="D10" s="82" t="s">
        <v>53</v>
      </c>
      <c r="E10" s="88">
        <f>F10*$E$2</f>
        <v>1925000.0000000002</v>
      </c>
      <c r="F10" s="103">
        <v>14000000</v>
      </c>
      <c r="G10" s="99">
        <f>Table810121314[[#This Row],[Total US$ ]]*$G$1</f>
        <v>32821250.000000004</v>
      </c>
      <c r="H10" s="85" t="s">
        <v>142</v>
      </c>
      <c r="I10" s="96" t="s">
        <v>575</v>
      </c>
      <c r="J10" s="109" t="s">
        <v>329</v>
      </c>
      <c r="K10" s="82" t="s">
        <v>507</v>
      </c>
      <c r="L10" s="111">
        <v>44562</v>
      </c>
      <c r="M10" s="111">
        <v>46752</v>
      </c>
    </row>
    <row r="11" spans="1:14" ht="96" x14ac:dyDescent="0.2">
      <c r="A11" s="85" t="s">
        <v>264</v>
      </c>
      <c r="B11" s="85" t="s">
        <v>128</v>
      </c>
      <c r="C11" s="82" t="s">
        <v>51</v>
      </c>
      <c r="D11" s="82" t="s">
        <v>54</v>
      </c>
      <c r="E11" s="88">
        <f>F11*$E$2</f>
        <v>1925000.0000000002</v>
      </c>
      <c r="F11" s="103">
        <v>14000000</v>
      </c>
      <c r="G11" s="99">
        <f>Table810121314[[#This Row],[Total US$ ]]*$G$1</f>
        <v>32821250.000000004</v>
      </c>
      <c r="H11" s="85" t="s">
        <v>142</v>
      </c>
      <c r="I11" s="96" t="s">
        <v>576</v>
      </c>
      <c r="J11" s="109" t="s">
        <v>329</v>
      </c>
      <c r="K11" s="82" t="s">
        <v>508</v>
      </c>
      <c r="L11" s="111">
        <v>44562</v>
      </c>
      <c r="M11" s="111">
        <v>46752</v>
      </c>
    </row>
    <row r="12" spans="1:14" s="65" customFormat="1" ht="80" x14ac:dyDescent="0.2">
      <c r="A12" s="85" t="s">
        <v>265</v>
      </c>
      <c r="B12" s="85" t="s">
        <v>128</v>
      </c>
      <c r="C12" s="82" t="s">
        <v>51</v>
      </c>
      <c r="D12" s="82" t="s">
        <v>53</v>
      </c>
      <c r="E12" s="88">
        <f t="shared" si="0"/>
        <v>5775000.0000000009</v>
      </c>
      <c r="F12" s="103">
        <v>42000000</v>
      </c>
      <c r="G12" s="99">
        <f>Table810121314[[#This Row],[Total US$ ]]*$G$1</f>
        <v>98463750.000000015</v>
      </c>
      <c r="H12" s="85" t="s">
        <v>142</v>
      </c>
      <c r="I12" s="96" t="s">
        <v>577</v>
      </c>
      <c r="J12" s="109" t="s">
        <v>329</v>
      </c>
      <c r="K12" s="82" t="s">
        <v>509</v>
      </c>
      <c r="L12" s="111">
        <v>44562</v>
      </c>
      <c r="M12" s="111">
        <v>46752</v>
      </c>
    </row>
    <row r="13" spans="1:14" s="73" customFormat="1" ht="176" x14ac:dyDescent="0.2">
      <c r="A13" s="85" t="s">
        <v>266</v>
      </c>
      <c r="B13" s="85" t="s">
        <v>128</v>
      </c>
      <c r="C13" s="82" t="s">
        <v>79</v>
      </c>
      <c r="D13" s="82" t="s">
        <v>68</v>
      </c>
      <c r="E13" s="88">
        <f t="shared" si="0"/>
        <v>412500.00000000006</v>
      </c>
      <c r="F13" s="103">
        <v>3000000</v>
      </c>
      <c r="G13" s="99">
        <f>Table810121314[[#This Row],[Total US$ ]]*$G$1</f>
        <v>7033125.0000000009</v>
      </c>
      <c r="H13" s="85" t="s">
        <v>142</v>
      </c>
      <c r="I13" s="96" t="s">
        <v>109</v>
      </c>
      <c r="J13" s="109" t="s">
        <v>329</v>
      </c>
      <c r="K13" s="82" t="s">
        <v>510</v>
      </c>
      <c r="L13" s="111">
        <v>44927</v>
      </c>
      <c r="M13" s="111">
        <v>46387</v>
      </c>
    </row>
    <row r="14" spans="1:14" x14ac:dyDescent="0.2">
      <c r="A14" s="85"/>
      <c r="B14" s="85"/>
      <c r="C14" s="81"/>
      <c r="D14" s="81"/>
      <c r="E14" s="86">
        <f>SUBTOTAL(109,Table810121314[Total US$ ])</f>
        <v>21050700</v>
      </c>
      <c r="F14" s="103">
        <f>SUBTOTAL(109,Table810121314[DKK - Amount])</f>
        <v>153096000</v>
      </c>
      <c r="G14" s="99">
        <f>SUBTOTAL(109,Table810121314[Total ZAR])</f>
        <v>358914435</v>
      </c>
      <c r="H14" s="6"/>
      <c r="I14" s="56"/>
      <c r="J14" s="58"/>
      <c r="K14" s="28"/>
      <c r="L14" s="57"/>
      <c r="M14" s="57"/>
    </row>
    <row r="15" spans="1:14" x14ac:dyDescent="0.2">
      <c r="A15" s="35"/>
      <c r="B15" s="26"/>
      <c r="C15" s="13"/>
      <c r="D15" s="13"/>
      <c r="E15" s="29"/>
      <c r="F15" s="29"/>
      <c r="G15" s="31"/>
      <c r="H15" s="6"/>
      <c r="I15" s="7"/>
      <c r="J15" s="27"/>
      <c r="K15" s="25"/>
      <c r="L15" s="7"/>
      <c r="M15" s="15"/>
      <c r="N15" s="15"/>
    </row>
    <row r="16" spans="1:14" ht="30" customHeight="1" x14ac:dyDescent="0.2">
      <c r="A16" s="130" t="s">
        <v>589</v>
      </c>
      <c r="B16" s="130"/>
      <c r="C16" s="130"/>
      <c r="D16" s="130"/>
      <c r="E16" s="130"/>
      <c r="F16" s="130"/>
      <c r="G16" s="130"/>
      <c r="H16" s="130"/>
      <c r="I16" s="130"/>
      <c r="J16" s="130"/>
      <c r="K16" s="130"/>
      <c r="L16" s="130"/>
      <c r="M16" s="130"/>
      <c r="N16" s="18"/>
    </row>
    <row r="17" spans="1:14" x14ac:dyDescent="0.2">
      <c r="B17" s="1"/>
      <c r="F17" s="1"/>
      <c r="G17" s="1"/>
      <c r="H17" s="8"/>
      <c r="I17" s="1"/>
      <c r="J17" s="3"/>
      <c r="L17" s="18"/>
      <c r="M17" s="18"/>
      <c r="N17" s="18"/>
    </row>
    <row r="18" spans="1:14" x14ac:dyDescent="0.2">
      <c r="A18" s="125" t="s">
        <v>590</v>
      </c>
      <c r="B18" s="125"/>
      <c r="C18" s="125"/>
      <c r="D18" s="125"/>
      <c r="E18" s="125"/>
      <c r="F18" s="125"/>
      <c r="G18" s="125"/>
      <c r="H18" s="125"/>
      <c r="I18" s="125"/>
      <c r="J18" s="125"/>
      <c r="K18" s="125"/>
      <c r="L18" s="15"/>
      <c r="M18" s="18"/>
      <c r="N18" s="18"/>
    </row>
    <row r="19" spans="1:14" x14ac:dyDescent="0.2">
      <c r="A19" s="35"/>
      <c r="B19" s="6"/>
      <c r="C19" s="14"/>
      <c r="D19" s="14"/>
      <c r="E19" s="30"/>
      <c r="F19" s="30"/>
      <c r="G19" s="31"/>
      <c r="H19" s="6"/>
      <c r="I19" s="17"/>
      <c r="J19" s="27"/>
      <c r="K19" s="24"/>
      <c r="L19" s="17"/>
      <c r="M19" s="18"/>
      <c r="N19" s="18"/>
    </row>
    <row r="20" spans="1:14" x14ac:dyDescent="0.2">
      <c r="A20" s="35"/>
      <c r="B20" s="6"/>
      <c r="C20" s="14"/>
      <c r="D20" s="14"/>
      <c r="E20" s="30"/>
      <c r="F20" s="30"/>
      <c r="G20" s="31"/>
      <c r="H20" s="6"/>
      <c r="I20" s="17"/>
      <c r="J20" s="27"/>
      <c r="K20" s="24"/>
      <c r="L20" s="17"/>
      <c r="M20" s="18"/>
      <c r="N20" s="18"/>
    </row>
    <row r="21" spans="1:14" x14ac:dyDescent="0.2">
      <c r="A21" s="35"/>
      <c r="B21" s="26"/>
      <c r="C21" s="14"/>
      <c r="D21" s="14"/>
      <c r="E21" s="30"/>
      <c r="F21" s="30"/>
      <c r="G21" s="31"/>
      <c r="H21" s="5"/>
      <c r="I21" s="17"/>
      <c r="J21" s="27"/>
      <c r="K21" s="24"/>
      <c r="L21" s="17"/>
      <c r="M21" s="18"/>
      <c r="N21" s="18"/>
    </row>
    <row r="22" spans="1:14" x14ac:dyDescent="0.2">
      <c r="A22" s="35"/>
      <c r="B22" s="26"/>
      <c r="C22" s="13"/>
      <c r="D22" s="13"/>
      <c r="E22" s="29"/>
      <c r="F22" s="29"/>
      <c r="G22" s="31"/>
      <c r="H22" s="5"/>
      <c r="I22" s="7"/>
      <c r="J22" s="27"/>
      <c r="K22" s="24"/>
      <c r="L22" s="7"/>
      <c r="M22" s="18"/>
      <c r="N22" s="15"/>
    </row>
    <row r="23" spans="1:14" x14ac:dyDescent="0.2">
      <c r="A23" s="35"/>
      <c r="B23" s="26"/>
      <c r="C23" s="13"/>
      <c r="D23" s="13"/>
      <c r="E23" s="29"/>
      <c r="F23" s="29"/>
      <c r="G23" s="31"/>
      <c r="H23" s="5"/>
      <c r="I23" s="7"/>
      <c r="J23" s="27"/>
      <c r="K23" s="24"/>
      <c r="L23" s="13"/>
      <c r="M23" s="18"/>
      <c r="N23" s="15"/>
    </row>
    <row r="24" spans="1:14" x14ac:dyDescent="0.2">
      <c r="A24" s="35"/>
      <c r="B24" s="26"/>
      <c r="C24" s="13"/>
      <c r="D24" s="13"/>
      <c r="E24" s="29"/>
      <c r="F24" s="29"/>
      <c r="G24" s="31"/>
      <c r="H24" s="6"/>
      <c r="I24" s="7"/>
      <c r="J24" s="27"/>
      <c r="K24" s="24"/>
      <c r="L24" s="13"/>
      <c r="M24" s="15"/>
      <c r="N24" s="15"/>
    </row>
    <row r="25" spans="1:14" x14ac:dyDescent="0.2">
      <c r="A25" s="35"/>
      <c r="B25" s="26"/>
      <c r="C25" s="13"/>
      <c r="D25" s="13"/>
      <c r="E25" s="29"/>
      <c r="F25" s="29"/>
      <c r="G25" s="31"/>
      <c r="H25" s="6"/>
      <c r="I25" s="7"/>
      <c r="J25" s="27"/>
      <c r="K25" s="24"/>
      <c r="L25" s="13"/>
      <c r="M25" s="15"/>
      <c r="N25" s="15"/>
    </row>
    <row r="26" spans="1:14" x14ac:dyDescent="0.2">
      <c r="A26" s="35"/>
      <c r="B26" s="26"/>
      <c r="C26" s="13"/>
      <c r="D26" s="13"/>
      <c r="E26" s="29"/>
      <c r="F26" s="29"/>
      <c r="G26" s="31"/>
      <c r="H26" s="6"/>
      <c r="I26" s="7"/>
      <c r="J26" s="27"/>
      <c r="K26" s="24"/>
      <c r="L26" s="13"/>
      <c r="M26" s="15"/>
      <c r="N26" s="15"/>
    </row>
    <row r="27" spans="1:14" x14ac:dyDescent="0.2">
      <c r="A27" s="35"/>
      <c r="B27" s="26"/>
      <c r="C27" s="13"/>
      <c r="D27" s="13"/>
      <c r="E27" s="29"/>
      <c r="F27" s="29"/>
      <c r="G27" s="31"/>
      <c r="H27" s="6"/>
      <c r="I27" s="7"/>
      <c r="J27" s="27"/>
      <c r="K27" s="24"/>
      <c r="L27" s="7"/>
      <c r="M27" s="15"/>
      <c r="N27" s="15"/>
    </row>
    <row r="28" spans="1:14" x14ac:dyDescent="0.2">
      <c r="A28" s="35"/>
      <c r="B28" s="26"/>
      <c r="C28" s="13"/>
      <c r="D28" s="13"/>
      <c r="E28" s="29"/>
      <c r="F28" s="29"/>
      <c r="G28" s="31"/>
      <c r="H28" s="6"/>
      <c r="I28" s="7"/>
      <c r="J28" s="27"/>
      <c r="K28" s="25"/>
      <c r="L28" s="7"/>
      <c r="M28" s="15"/>
      <c r="N28" s="15"/>
    </row>
    <row r="29" spans="1:14" x14ac:dyDescent="0.2">
      <c r="A29" s="35"/>
      <c r="B29" s="26"/>
      <c r="C29" s="13"/>
      <c r="D29" s="13"/>
      <c r="E29" s="29"/>
      <c r="F29" s="29"/>
      <c r="G29" s="31"/>
      <c r="H29" s="6"/>
      <c r="I29" s="7"/>
      <c r="J29" s="27"/>
      <c r="K29" s="25"/>
      <c r="L29" s="13"/>
      <c r="M29" s="18"/>
      <c r="N29" s="15"/>
    </row>
    <row r="30" spans="1:14" x14ac:dyDescent="0.2">
      <c r="A30" s="35"/>
      <c r="B30" s="26"/>
      <c r="C30" s="13"/>
      <c r="D30" s="13"/>
      <c r="E30" s="29"/>
      <c r="F30" s="29"/>
      <c r="G30" s="31"/>
      <c r="H30" s="6"/>
      <c r="I30" s="7"/>
      <c r="J30" s="27"/>
      <c r="K30" s="46"/>
      <c r="L30" s="7"/>
      <c r="M30" s="15"/>
      <c r="N30" s="15"/>
    </row>
    <row r="31" spans="1:14" x14ac:dyDescent="0.2">
      <c r="A31" s="35"/>
      <c r="B31" s="39"/>
      <c r="C31" s="39"/>
      <c r="D31" s="40"/>
      <c r="E31" s="47"/>
      <c r="F31" s="47"/>
      <c r="G31" s="31"/>
      <c r="H31" s="5"/>
      <c r="I31" s="41"/>
      <c r="J31" s="43"/>
      <c r="K31" s="46"/>
      <c r="L31" s="41"/>
      <c r="M31" s="48"/>
      <c r="N31" s="48"/>
    </row>
    <row r="32" spans="1:14" x14ac:dyDescent="0.2">
      <c r="A32" s="35"/>
      <c r="B32" s="35"/>
      <c r="C32" s="6"/>
      <c r="D32" s="33"/>
      <c r="E32" s="49"/>
      <c r="F32" s="49"/>
      <c r="G32" s="31"/>
      <c r="H32" s="5"/>
      <c r="I32" s="36"/>
      <c r="J32" s="27"/>
      <c r="K32" s="50"/>
      <c r="L32" s="36"/>
      <c r="M32" s="38"/>
      <c r="N32" s="38"/>
    </row>
    <row r="33" spans="1:14" x14ac:dyDescent="0.2">
      <c r="A33" s="35"/>
      <c r="B33" s="39"/>
      <c r="C33" s="5"/>
      <c r="D33" s="40"/>
      <c r="E33" s="47"/>
      <c r="F33" s="47"/>
      <c r="G33" s="31"/>
      <c r="H33" s="5"/>
      <c r="I33" s="41"/>
      <c r="J33" s="43"/>
      <c r="K33" s="46"/>
      <c r="L33" s="41"/>
      <c r="M33" s="48"/>
      <c r="N33" s="48"/>
    </row>
    <row r="34" spans="1:14" x14ac:dyDescent="0.2">
      <c r="A34" s="35"/>
      <c r="B34" s="39"/>
      <c r="C34" s="40"/>
      <c r="D34" s="40"/>
      <c r="E34" s="47"/>
      <c r="F34" s="47"/>
      <c r="G34" s="31"/>
      <c r="H34" s="5"/>
      <c r="I34" s="41"/>
      <c r="J34" s="43"/>
      <c r="K34" s="46"/>
      <c r="L34" s="41"/>
      <c r="M34" s="48"/>
      <c r="N34" s="48"/>
    </row>
    <row r="35" spans="1:14" x14ac:dyDescent="0.2">
      <c r="A35" s="35"/>
      <c r="B35" s="35"/>
      <c r="C35" s="33"/>
      <c r="D35" s="33"/>
      <c r="E35" s="49"/>
      <c r="F35" s="49"/>
      <c r="G35" s="31"/>
      <c r="H35" s="6"/>
      <c r="I35" s="36"/>
      <c r="J35" s="27"/>
      <c r="K35" s="37"/>
      <c r="L35" s="36"/>
      <c r="M35" s="38"/>
      <c r="N35" s="38"/>
    </row>
    <row r="36" spans="1:14" x14ac:dyDescent="0.2">
      <c r="A36" s="35"/>
      <c r="B36" s="39"/>
      <c r="C36" s="40"/>
      <c r="D36" s="40"/>
      <c r="E36" s="39"/>
      <c r="F36" s="39"/>
      <c r="G36" s="31"/>
      <c r="H36" s="5"/>
      <c r="I36" s="41"/>
      <c r="J36" s="43"/>
      <c r="K36" s="42"/>
      <c r="L36" s="41"/>
      <c r="M36" s="48"/>
      <c r="N36" s="48"/>
    </row>
    <row r="37" spans="1:14" x14ac:dyDescent="0.2">
      <c r="A37" s="35"/>
      <c r="B37" s="39"/>
      <c r="C37" s="40"/>
      <c r="D37" s="40"/>
      <c r="E37" s="39"/>
      <c r="F37" s="39"/>
      <c r="G37" s="31"/>
      <c r="H37" s="5"/>
      <c r="I37" s="41"/>
      <c r="J37" s="43"/>
      <c r="K37" s="42"/>
      <c r="L37" s="41"/>
      <c r="M37" s="48"/>
      <c r="N37" s="48"/>
    </row>
    <row r="38" spans="1:14" x14ac:dyDescent="0.2">
      <c r="A38" s="35"/>
      <c r="B38" s="35"/>
      <c r="C38" s="40"/>
      <c r="D38" s="33"/>
      <c r="E38" s="49"/>
      <c r="F38" s="49"/>
      <c r="G38" s="31"/>
      <c r="H38" s="6"/>
      <c r="I38" s="36"/>
      <c r="J38" s="27"/>
      <c r="K38" s="46"/>
      <c r="L38" s="36"/>
      <c r="M38" s="38"/>
      <c r="N38" s="38"/>
    </row>
    <row r="39" spans="1:14" x14ac:dyDescent="0.2">
      <c r="A39" s="35"/>
      <c r="B39" s="35"/>
      <c r="C39" s="33"/>
      <c r="D39" s="33"/>
      <c r="E39" s="49"/>
      <c r="F39" s="49"/>
      <c r="G39" s="31"/>
      <c r="H39" s="6"/>
      <c r="I39" s="36"/>
      <c r="J39" s="27"/>
      <c r="K39" s="37"/>
      <c r="L39" s="36"/>
      <c r="M39" s="38"/>
      <c r="N39" s="38"/>
    </row>
    <row r="40" spans="1:14" x14ac:dyDescent="0.2">
      <c r="A40" s="35"/>
      <c r="B40" s="39"/>
      <c r="C40" s="40"/>
      <c r="D40" s="40"/>
      <c r="E40" s="39"/>
      <c r="F40" s="39"/>
      <c r="G40" s="31"/>
      <c r="H40" s="6"/>
      <c r="I40" s="41"/>
      <c r="J40" s="42"/>
      <c r="K40" s="42"/>
      <c r="L40" s="41"/>
      <c r="M40" s="48"/>
      <c r="N40" s="48"/>
    </row>
    <row r="41" spans="1:14" x14ac:dyDescent="0.2">
      <c r="A41" s="35"/>
      <c r="B41" s="35"/>
      <c r="C41" s="33"/>
      <c r="D41" s="33"/>
      <c r="E41" s="49"/>
      <c r="F41" s="49"/>
      <c r="G41" s="31"/>
      <c r="H41" s="6"/>
      <c r="I41" s="36"/>
      <c r="J41" s="27"/>
      <c r="K41" s="37"/>
      <c r="L41" s="36"/>
      <c r="M41" s="38"/>
      <c r="N41" s="38"/>
    </row>
    <row r="42" spans="1:14" x14ac:dyDescent="0.2">
      <c r="A42" s="35"/>
      <c r="B42" s="6"/>
      <c r="C42" s="19"/>
      <c r="D42" s="14"/>
      <c r="E42" s="32"/>
      <c r="F42" s="32"/>
      <c r="G42" s="31"/>
      <c r="H42" s="6"/>
      <c r="I42" s="21"/>
      <c r="J42" s="59"/>
      <c r="K42" s="24"/>
      <c r="L42" s="19"/>
      <c r="M42" s="22"/>
      <c r="N42" s="22"/>
    </row>
    <row r="43" spans="1:14" x14ac:dyDescent="0.2">
      <c r="A43" s="35"/>
      <c r="B43" s="6"/>
      <c r="C43" s="19"/>
      <c r="D43" s="14"/>
      <c r="E43" s="32"/>
      <c r="F43" s="32"/>
      <c r="G43" s="31"/>
      <c r="H43" s="6"/>
      <c r="I43" s="21"/>
      <c r="J43" s="59"/>
      <c r="K43" s="24"/>
      <c r="L43" s="19"/>
      <c r="M43" s="22"/>
      <c r="N43" s="22"/>
    </row>
    <row r="44" spans="1:14" x14ac:dyDescent="0.2">
      <c r="A44" s="35"/>
      <c r="B44" s="6"/>
      <c r="C44" s="19"/>
      <c r="D44" s="14"/>
      <c r="E44" s="32"/>
      <c r="F44" s="32"/>
      <c r="G44" s="31"/>
      <c r="H44" s="6"/>
      <c r="I44" s="21"/>
      <c r="J44" s="59"/>
      <c r="K44" s="24"/>
      <c r="L44" s="19"/>
      <c r="M44" s="22"/>
      <c r="N44" s="22"/>
    </row>
    <row r="45" spans="1:14" x14ac:dyDescent="0.2">
      <c r="A45" s="35"/>
      <c r="B45" s="6"/>
      <c r="C45" s="19"/>
      <c r="D45" s="14"/>
      <c r="E45" s="32"/>
      <c r="F45" s="32"/>
      <c r="G45" s="31"/>
      <c r="H45" s="6"/>
      <c r="I45" s="21"/>
      <c r="J45" s="59"/>
      <c r="K45" s="24"/>
      <c r="L45" s="19"/>
      <c r="M45" s="22"/>
      <c r="N45" s="22"/>
    </row>
    <row r="46" spans="1:14" x14ac:dyDescent="0.2">
      <c r="A46" s="35"/>
      <c r="B46" s="6"/>
      <c r="C46" s="19"/>
      <c r="D46" s="14"/>
      <c r="E46" s="32"/>
      <c r="F46" s="32"/>
      <c r="G46" s="31"/>
      <c r="H46" s="6"/>
      <c r="I46" s="21"/>
      <c r="J46" s="59"/>
      <c r="K46" s="24"/>
      <c r="L46" s="19"/>
      <c r="M46" s="22"/>
      <c r="N46" s="22"/>
    </row>
    <row r="47" spans="1:14" x14ac:dyDescent="0.2">
      <c r="A47" s="35"/>
      <c r="B47" s="6"/>
      <c r="C47" s="19"/>
      <c r="D47" s="14"/>
      <c r="E47" s="32"/>
      <c r="F47" s="32"/>
      <c r="G47" s="31"/>
      <c r="H47" s="6"/>
      <c r="I47" s="21"/>
      <c r="J47" s="59"/>
      <c r="K47" s="24"/>
      <c r="L47" s="19"/>
      <c r="M47" s="22"/>
      <c r="N47" s="22"/>
    </row>
    <row r="48" spans="1:14" x14ac:dyDescent="0.2">
      <c r="A48" s="35"/>
      <c r="B48" s="6"/>
      <c r="C48" s="19"/>
      <c r="D48" s="14"/>
      <c r="E48" s="32"/>
      <c r="F48" s="32"/>
      <c r="G48" s="31"/>
      <c r="H48" s="6"/>
      <c r="I48" s="21"/>
      <c r="J48" s="59"/>
      <c r="K48" s="24"/>
      <c r="L48" s="19"/>
      <c r="M48" s="22"/>
      <c r="N48" s="22"/>
    </row>
    <row r="49" spans="1:14" x14ac:dyDescent="0.2">
      <c r="A49" s="35"/>
      <c r="B49" s="6"/>
      <c r="C49" s="19"/>
      <c r="D49" s="14"/>
      <c r="E49" s="32"/>
      <c r="F49" s="32"/>
      <c r="G49" s="31"/>
      <c r="H49" s="6"/>
      <c r="I49" s="21"/>
      <c r="J49" s="59"/>
      <c r="K49" s="24"/>
      <c r="L49" s="19"/>
      <c r="M49" s="22"/>
      <c r="N49" s="22"/>
    </row>
    <row r="50" spans="1:14" x14ac:dyDescent="0.2">
      <c r="A50" s="35"/>
      <c r="B50" s="6"/>
      <c r="C50" s="19"/>
      <c r="D50" s="14"/>
      <c r="E50" s="32"/>
      <c r="F50" s="32"/>
      <c r="G50" s="31"/>
      <c r="H50" s="6"/>
      <c r="I50" s="21"/>
      <c r="J50" s="59"/>
      <c r="K50" s="24"/>
      <c r="L50" s="19"/>
      <c r="M50" s="22"/>
      <c r="N50" s="22"/>
    </row>
    <row r="51" spans="1:14" x14ac:dyDescent="0.2">
      <c r="A51" s="35"/>
      <c r="B51" s="6"/>
      <c r="C51" s="19"/>
      <c r="D51" s="14"/>
      <c r="E51" s="32"/>
      <c r="F51" s="32"/>
      <c r="G51" s="31"/>
      <c r="H51" s="6"/>
      <c r="I51" s="21"/>
      <c r="J51" s="59"/>
      <c r="K51" s="24"/>
      <c r="L51" s="19"/>
      <c r="M51" s="22"/>
      <c r="N51" s="22"/>
    </row>
    <row r="52" spans="1:14" x14ac:dyDescent="0.2">
      <c r="A52" s="35"/>
      <c r="B52" s="6"/>
      <c r="C52" s="19"/>
      <c r="D52" s="14"/>
      <c r="E52" s="32"/>
      <c r="F52" s="32"/>
      <c r="G52" s="31"/>
      <c r="H52" s="6"/>
      <c r="I52" s="21"/>
      <c r="J52" s="59"/>
      <c r="K52" s="24"/>
      <c r="L52" s="19"/>
      <c r="M52" s="22"/>
      <c r="N52" s="22"/>
    </row>
    <row r="53" spans="1:14" x14ac:dyDescent="0.2">
      <c r="A53" s="35"/>
      <c r="B53" s="6"/>
      <c r="C53" s="19"/>
      <c r="D53" s="14"/>
      <c r="E53" s="32"/>
      <c r="F53" s="32"/>
      <c r="G53" s="31"/>
      <c r="H53" s="6"/>
      <c r="I53" s="21"/>
      <c r="J53" s="59"/>
      <c r="K53" s="24"/>
      <c r="L53" s="19"/>
      <c r="M53" s="22"/>
      <c r="N53" s="22"/>
    </row>
    <row r="54" spans="1:14" x14ac:dyDescent="0.2">
      <c r="A54" s="35"/>
      <c r="B54" s="6"/>
      <c r="C54" s="19"/>
      <c r="D54" s="14"/>
      <c r="E54" s="32"/>
      <c r="F54" s="32"/>
      <c r="G54" s="31"/>
      <c r="H54" s="6"/>
      <c r="I54" s="21"/>
      <c r="J54" s="59"/>
      <c r="K54" s="24"/>
      <c r="L54" s="19"/>
      <c r="M54" s="22"/>
      <c r="N54" s="22"/>
    </row>
    <row r="55" spans="1:14" x14ac:dyDescent="0.2">
      <c r="A55" s="35"/>
      <c r="B55" s="6"/>
      <c r="C55" s="19"/>
      <c r="D55" s="14"/>
      <c r="E55" s="32"/>
      <c r="F55" s="32"/>
      <c r="G55" s="31"/>
      <c r="H55" s="6"/>
      <c r="I55" s="21"/>
      <c r="J55" s="59"/>
      <c r="K55" s="24"/>
      <c r="L55" s="19"/>
      <c r="M55" s="22"/>
      <c r="N55" s="22"/>
    </row>
    <row r="56" spans="1:14" x14ac:dyDescent="0.2">
      <c r="A56" s="35"/>
      <c r="B56" s="6"/>
      <c r="C56" s="19"/>
      <c r="D56" s="14"/>
      <c r="E56" s="32"/>
      <c r="F56" s="32"/>
      <c r="G56" s="31"/>
      <c r="H56" s="6"/>
      <c r="I56" s="21"/>
      <c r="J56" s="59"/>
      <c r="K56" s="24"/>
      <c r="L56" s="19"/>
      <c r="M56" s="22"/>
      <c r="N56" s="22"/>
    </row>
    <row r="57" spans="1:14" x14ac:dyDescent="0.2">
      <c r="A57" s="35"/>
      <c r="B57" s="6"/>
      <c r="C57" s="19"/>
      <c r="D57" s="14"/>
      <c r="E57" s="32"/>
      <c r="F57" s="32"/>
      <c r="G57" s="31"/>
      <c r="H57" s="6"/>
      <c r="I57" s="21"/>
      <c r="J57" s="59"/>
      <c r="K57" s="24"/>
      <c r="L57" s="19"/>
      <c r="M57" s="22"/>
      <c r="N57" s="22"/>
    </row>
    <row r="58" spans="1:14" x14ac:dyDescent="0.2">
      <c r="A58" s="35"/>
      <c r="B58" s="6"/>
      <c r="C58" s="19"/>
      <c r="D58" s="14"/>
      <c r="E58" s="32"/>
      <c r="F58" s="32"/>
      <c r="G58" s="31"/>
      <c r="H58" s="6"/>
      <c r="I58" s="21"/>
      <c r="J58" s="59"/>
      <c r="K58" s="24"/>
      <c r="L58" s="19"/>
      <c r="M58" s="22"/>
      <c r="N58" s="22"/>
    </row>
    <row r="59" spans="1:14" x14ac:dyDescent="0.2">
      <c r="A59" s="35"/>
      <c r="B59" s="6"/>
      <c r="C59" s="19"/>
      <c r="D59" s="14"/>
      <c r="E59" s="32"/>
      <c r="F59" s="32"/>
      <c r="G59" s="31"/>
      <c r="H59" s="6"/>
      <c r="I59" s="21"/>
      <c r="J59" s="59"/>
      <c r="K59" s="24"/>
      <c r="L59" s="19"/>
      <c r="M59" s="22"/>
      <c r="N59" s="22"/>
    </row>
    <row r="60" spans="1:14" x14ac:dyDescent="0.2">
      <c r="A60" s="35"/>
      <c r="B60" s="6"/>
      <c r="C60" s="19"/>
      <c r="D60" s="14"/>
      <c r="E60" s="32"/>
      <c r="F60" s="32"/>
      <c r="G60" s="31"/>
      <c r="H60" s="6"/>
      <c r="I60" s="21"/>
      <c r="J60" s="59"/>
      <c r="K60" s="24"/>
      <c r="L60" s="19"/>
      <c r="M60" s="22"/>
      <c r="N60" s="22"/>
    </row>
    <row r="61" spans="1:14" x14ac:dyDescent="0.2">
      <c r="A61" s="35"/>
      <c r="B61" s="6"/>
      <c r="C61" s="19"/>
      <c r="D61" s="14"/>
      <c r="E61" s="32"/>
      <c r="F61" s="32"/>
      <c r="G61" s="31"/>
      <c r="H61" s="6"/>
      <c r="I61" s="21"/>
      <c r="J61" s="59"/>
      <c r="K61" s="24"/>
      <c r="L61" s="19"/>
      <c r="M61" s="22"/>
      <c r="N61" s="22"/>
    </row>
    <row r="62" spans="1:14" x14ac:dyDescent="0.2">
      <c r="A62" s="35"/>
      <c r="B62" s="6"/>
      <c r="C62" s="19"/>
      <c r="D62" s="14"/>
      <c r="E62" s="32"/>
      <c r="F62" s="32"/>
      <c r="G62" s="31"/>
      <c r="H62" s="6"/>
      <c r="I62" s="21"/>
      <c r="J62" s="59"/>
      <c r="K62" s="24"/>
      <c r="L62" s="19"/>
      <c r="M62" s="22"/>
      <c r="N62" s="22"/>
    </row>
    <row r="63" spans="1:14" x14ac:dyDescent="0.2">
      <c r="A63" s="35"/>
      <c r="B63" s="6"/>
      <c r="C63" s="19"/>
      <c r="D63" s="14"/>
      <c r="E63" s="32"/>
      <c r="F63" s="32"/>
      <c r="G63" s="31"/>
      <c r="H63" s="6"/>
      <c r="I63" s="21"/>
      <c r="J63" s="59"/>
      <c r="K63" s="24"/>
      <c r="L63" s="19"/>
      <c r="M63" s="22"/>
      <c r="N63" s="22"/>
    </row>
    <row r="64" spans="1:14" x14ac:dyDescent="0.2">
      <c r="A64" s="35"/>
      <c r="B64" s="6"/>
      <c r="C64" s="19"/>
      <c r="D64" s="14"/>
      <c r="E64" s="32"/>
      <c r="F64" s="32"/>
      <c r="G64" s="31"/>
      <c r="H64" s="6"/>
      <c r="I64" s="21"/>
      <c r="J64" s="59"/>
      <c r="K64" s="24"/>
      <c r="L64" s="19"/>
      <c r="M64" s="22"/>
      <c r="N64" s="22"/>
    </row>
    <row r="65" spans="1:14" x14ac:dyDescent="0.2">
      <c r="A65" s="35"/>
      <c r="B65" s="6"/>
      <c r="C65" s="19"/>
      <c r="D65" s="14"/>
      <c r="E65" s="32"/>
      <c r="F65" s="32"/>
      <c r="G65" s="31"/>
      <c r="H65" s="6"/>
      <c r="I65" s="21"/>
      <c r="J65" s="59"/>
      <c r="K65" s="24"/>
      <c r="L65" s="19"/>
      <c r="M65" s="22"/>
      <c r="N65" s="22"/>
    </row>
    <row r="66" spans="1:14" x14ac:dyDescent="0.2">
      <c r="A66" s="35"/>
      <c r="B66" s="6"/>
      <c r="C66" s="19"/>
      <c r="D66" s="14"/>
      <c r="E66" s="32"/>
      <c r="F66" s="32"/>
      <c r="G66" s="31"/>
      <c r="H66" s="6"/>
      <c r="I66" s="21"/>
      <c r="J66" s="59"/>
      <c r="K66" s="24"/>
      <c r="L66" s="19"/>
      <c r="M66" s="22"/>
      <c r="N66" s="22"/>
    </row>
    <row r="67" spans="1:14" x14ac:dyDescent="0.2">
      <c r="A67" s="35"/>
      <c r="B67" s="6"/>
      <c r="C67" s="19"/>
      <c r="D67" s="14"/>
      <c r="E67" s="32"/>
      <c r="F67" s="32"/>
      <c r="G67" s="31"/>
      <c r="H67" s="6"/>
      <c r="I67" s="21"/>
      <c r="J67" s="59"/>
      <c r="K67" s="24"/>
      <c r="L67" s="19"/>
      <c r="M67" s="22"/>
      <c r="N67" s="22"/>
    </row>
    <row r="68" spans="1:14" x14ac:dyDescent="0.2">
      <c r="A68" s="35"/>
      <c r="B68" s="6"/>
      <c r="C68" s="19"/>
      <c r="D68" s="14"/>
      <c r="E68" s="32"/>
      <c r="F68" s="32"/>
      <c r="G68" s="31"/>
      <c r="H68" s="6"/>
      <c r="I68" s="21"/>
      <c r="J68" s="59"/>
      <c r="K68" s="24"/>
      <c r="L68" s="19"/>
      <c r="M68" s="22"/>
      <c r="N68" s="22"/>
    </row>
    <row r="69" spans="1:14" x14ac:dyDescent="0.2">
      <c r="A69" s="35"/>
      <c r="B69" s="6"/>
      <c r="C69" s="19"/>
      <c r="D69" s="14"/>
      <c r="E69" s="32"/>
      <c r="F69" s="32"/>
      <c r="G69" s="31"/>
      <c r="H69" s="6"/>
      <c r="I69" s="21"/>
      <c r="J69" s="59"/>
      <c r="K69" s="24"/>
      <c r="L69" s="19"/>
      <c r="M69" s="22"/>
      <c r="N69" s="22"/>
    </row>
    <row r="70" spans="1:14" x14ac:dyDescent="0.2">
      <c r="A70" s="35"/>
      <c r="B70" s="6"/>
      <c r="C70" s="19"/>
      <c r="D70" s="14"/>
      <c r="E70" s="32"/>
      <c r="F70" s="32"/>
      <c r="G70" s="31"/>
      <c r="H70" s="6"/>
      <c r="I70" s="21"/>
      <c r="J70" s="59"/>
      <c r="K70" s="24"/>
      <c r="L70" s="19"/>
      <c r="M70" s="22"/>
      <c r="N70" s="22"/>
    </row>
    <row r="71" spans="1:14" x14ac:dyDescent="0.2">
      <c r="A71" s="35"/>
      <c r="B71" s="6"/>
      <c r="C71" s="19"/>
      <c r="D71" s="14"/>
      <c r="E71" s="32"/>
      <c r="F71" s="32"/>
      <c r="G71" s="31"/>
      <c r="H71" s="6"/>
      <c r="I71" s="21"/>
      <c r="J71" s="59"/>
      <c r="K71" s="24"/>
      <c r="L71" s="19"/>
      <c r="M71" s="22"/>
      <c r="N71" s="22"/>
    </row>
    <row r="72" spans="1:14" x14ac:dyDescent="0.2">
      <c r="A72" s="35"/>
      <c r="B72" s="6"/>
      <c r="C72" s="19"/>
      <c r="D72" s="14"/>
      <c r="E72" s="32"/>
      <c r="F72" s="32"/>
      <c r="G72" s="31"/>
      <c r="H72" s="6"/>
      <c r="I72" s="21"/>
      <c r="J72" s="59"/>
      <c r="K72" s="24"/>
      <c r="L72" s="19"/>
      <c r="M72" s="22"/>
      <c r="N72" s="22"/>
    </row>
    <row r="73" spans="1:14" x14ac:dyDescent="0.2">
      <c r="A73" s="35"/>
      <c r="B73" s="6"/>
      <c r="C73" s="19"/>
      <c r="D73" s="14"/>
      <c r="E73" s="32"/>
      <c r="F73" s="32"/>
      <c r="G73" s="31"/>
      <c r="H73" s="6"/>
      <c r="I73" s="21"/>
      <c r="J73" s="59"/>
      <c r="K73" s="24"/>
      <c r="L73" s="19"/>
      <c r="M73" s="22"/>
      <c r="N73" s="22"/>
    </row>
    <row r="74" spans="1:14" x14ac:dyDescent="0.2">
      <c r="A74" s="35"/>
      <c r="B74" s="6"/>
      <c r="C74" s="19"/>
      <c r="D74" s="14"/>
      <c r="E74" s="32"/>
      <c r="F74" s="32"/>
      <c r="G74" s="31"/>
      <c r="H74" s="6"/>
      <c r="I74" s="21"/>
      <c r="J74" s="59"/>
      <c r="K74" s="24"/>
      <c r="L74" s="19"/>
      <c r="M74" s="22"/>
      <c r="N74" s="22"/>
    </row>
    <row r="75" spans="1:14" x14ac:dyDescent="0.2">
      <c r="A75" s="35"/>
      <c r="B75" s="6"/>
      <c r="C75" s="19"/>
      <c r="D75" s="14"/>
      <c r="E75" s="32"/>
      <c r="F75" s="32"/>
      <c r="G75" s="31"/>
      <c r="H75" s="6"/>
      <c r="I75" s="21"/>
      <c r="J75" s="59"/>
      <c r="K75" s="24"/>
      <c r="L75" s="19"/>
      <c r="M75" s="22"/>
      <c r="N75" s="22"/>
    </row>
    <row r="76" spans="1:14" x14ac:dyDescent="0.2">
      <c r="A76" s="35"/>
      <c r="B76" s="6"/>
      <c r="C76" s="19"/>
      <c r="D76" s="14"/>
      <c r="E76" s="32"/>
      <c r="F76" s="32"/>
      <c r="G76" s="31"/>
      <c r="H76" s="6"/>
      <c r="I76" s="21"/>
      <c r="J76" s="59"/>
      <c r="K76" s="24"/>
      <c r="L76" s="19"/>
      <c r="M76" s="22"/>
      <c r="N76" s="22"/>
    </row>
    <row r="77" spans="1:14" x14ac:dyDescent="0.2">
      <c r="A77" s="35"/>
      <c r="B77" s="6"/>
      <c r="C77" s="19"/>
      <c r="D77" s="14"/>
      <c r="E77" s="32"/>
      <c r="F77" s="32"/>
      <c r="G77" s="31"/>
      <c r="H77" s="6"/>
      <c r="I77" s="21"/>
      <c r="J77" s="59"/>
      <c r="K77" s="24"/>
      <c r="L77" s="19"/>
      <c r="M77" s="22"/>
      <c r="N77" s="22"/>
    </row>
    <row r="78" spans="1:14" x14ac:dyDescent="0.2">
      <c r="A78" s="35"/>
      <c r="B78" s="6"/>
      <c r="C78" s="19"/>
      <c r="D78" s="14"/>
      <c r="E78" s="32"/>
      <c r="F78" s="32"/>
      <c r="G78" s="31"/>
      <c r="H78" s="6"/>
      <c r="I78" s="21"/>
      <c r="J78" s="59"/>
      <c r="K78" s="24"/>
      <c r="L78" s="19"/>
      <c r="M78" s="22"/>
      <c r="N78" s="22"/>
    </row>
    <row r="79" spans="1:14" x14ac:dyDescent="0.2">
      <c r="A79" s="35"/>
      <c r="B79" s="6"/>
      <c r="C79" s="19"/>
      <c r="D79" s="14"/>
      <c r="E79" s="32"/>
      <c r="F79" s="32"/>
      <c r="G79" s="31"/>
      <c r="H79" s="6"/>
      <c r="I79" s="21"/>
      <c r="J79" s="59"/>
      <c r="K79" s="24"/>
      <c r="L79" s="19"/>
      <c r="M79" s="22"/>
      <c r="N79" s="22"/>
    </row>
    <row r="80" spans="1:14" x14ac:dyDescent="0.2">
      <c r="A80" s="35"/>
      <c r="B80" s="6"/>
      <c r="C80" s="19"/>
      <c r="D80" s="14"/>
      <c r="E80" s="32"/>
      <c r="F80" s="32"/>
      <c r="G80" s="31"/>
      <c r="H80" s="6"/>
      <c r="I80" s="21"/>
      <c r="J80" s="59"/>
      <c r="K80" s="24"/>
      <c r="L80" s="19"/>
      <c r="M80" s="22"/>
      <c r="N80" s="22"/>
    </row>
    <row r="81" spans="1:14" x14ac:dyDescent="0.2">
      <c r="A81" s="35"/>
      <c r="B81" s="6"/>
      <c r="C81" s="19"/>
      <c r="D81" s="14"/>
      <c r="E81" s="32"/>
      <c r="F81" s="32"/>
      <c r="G81" s="31"/>
      <c r="H81" s="6"/>
      <c r="I81" s="21"/>
      <c r="J81" s="59"/>
      <c r="K81" s="24"/>
      <c r="L81" s="19"/>
      <c r="M81" s="22"/>
      <c r="N81" s="22"/>
    </row>
    <row r="82" spans="1:14" x14ac:dyDescent="0.2">
      <c r="A82" s="35"/>
      <c r="B82" s="6"/>
      <c r="C82" s="19"/>
      <c r="D82" s="14"/>
      <c r="E82" s="32"/>
      <c r="F82" s="32"/>
      <c r="G82" s="31"/>
      <c r="H82" s="6"/>
      <c r="I82" s="21"/>
      <c r="J82" s="59"/>
      <c r="K82" s="24"/>
      <c r="L82" s="19"/>
      <c r="M82" s="22"/>
      <c r="N82" s="22"/>
    </row>
    <row r="83" spans="1:14" x14ac:dyDescent="0.2">
      <c r="A83" s="35"/>
      <c r="B83" s="6"/>
      <c r="C83" s="19"/>
      <c r="D83" s="14"/>
      <c r="E83" s="32"/>
      <c r="F83" s="32"/>
      <c r="G83" s="31"/>
      <c r="H83" s="6"/>
      <c r="I83" s="21"/>
      <c r="J83" s="59"/>
      <c r="K83" s="24"/>
      <c r="L83" s="19"/>
      <c r="M83" s="22"/>
      <c r="N83" s="22"/>
    </row>
    <row r="84" spans="1:14" x14ac:dyDescent="0.2">
      <c r="A84" s="35"/>
      <c r="B84" s="6"/>
      <c r="C84" s="19"/>
      <c r="D84" s="14"/>
      <c r="E84" s="32"/>
      <c r="F84" s="32"/>
      <c r="G84" s="31"/>
      <c r="H84" s="6"/>
      <c r="I84" s="21"/>
      <c r="J84" s="59"/>
      <c r="K84" s="24"/>
      <c r="L84" s="19"/>
      <c r="M84" s="22"/>
      <c r="N84" s="22"/>
    </row>
    <row r="85" spans="1:14" x14ac:dyDescent="0.2">
      <c r="A85" s="35"/>
      <c r="B85" s="6"/>
      <c r="C85" s="19"/>
      <c r="D85" s="14"/>
      <c r="E85" s="32"/>
      <c r="F85" s="32"/>
      <c r="G85" s="31"/>
      <c r="H85" s="6"/>
      <c r="I85" s="21"/>
      <c r="J85" s="59"/>
      <c r="K85" s="24"/>
      <c r="L85" s="19"/>
      <c r="M85" s="22"/>
      <c r="N85" s="22"/>
    </row>
    <row r="86" spans="1:14" x14ac:dyDescent="0.2">
      <c r="A86" s="35"/>
      <c r="B86" s="6"/>
      <c r="C86" s="19"/>
      <c r="D86" s="14"/>
      <c r="E86" s="32"/>
      <c r="F86" s="32"/>
      <c r="G86" s="31"/>
      <c r="H86" s="6"/>
      <c r="I86" s="21"/>
      <c r="J86" s="59"/>
      <c r="K86" s="24"/>
      <c r="L86" s="19"/>
      <c r="M86" s="22"/>
      <c r="N86" s="22"/>
    </row>
    <row r="87" spans="1:14" x14ac:dyDescent="0.2">
      <c r="A87" s="35"/>
      <c r="B87" s="6"/>
      <c r="C87" s="19"/>
      <c r="D87" s="14"/>
      <c r="E87" s="32"/>
      <c r="F87" s="32"/>
      <c r="G87" s="31"/>
      <c r="H87" s="6"/>
      <c r="I87" s="21"/>
      <c r="J87" s="59"/>
      <c r="K87" s="24"/>
      <c r="L87" s="19"/>
      <c r="M87" s="22"/>
      <c r="N87" s="22"/>
    </row>
    <row r="88" spans="1:14" x14ac:dyDescent="0.2">
      <c r="A88" s="35"/>
      <c r="B88" s="6"/>
      <c r="C88" s="19"/>
      <c r="D88" s="14"/>
      <c r="E88" s="32"/>
      <c r="F88" s="32"/>
      <c r="G88" s="31"/>
      <c r="H88" s="6"/>
      <c r="I88" s="21"/>
      <c r="J88" s="59"/>
      <c r="K88" s="24"/>
      <c r="L88" s="19"/>
      <c r="M88" s="22"/>
      <c r="N88" s="22"/>
    </row>
    <row r="89" spans="1:14" x14ac:dyDescent="0.2">
      <c r="A89" s="35"/>
      <c r="B89" s="6"/>
      <c r="C89" s="19"/>
      <c r="D89" s="14"/>
      <c r="E89" s="32"/>
      <c r="F89" s="32"/>
      <c r="G89" s="31"/>
      <c r="H89" s="6"/>
      <c r="I89" s="21"/>
      <c r="J89" s="59"/>
      <c r="K89" s="24"/>
      <c r="L89" s="19"/>
      <c r="M89" s="22"/>
      <c r="N89" s="22"/>
    </row>
    <row r="90" spans="1:14" x14ac:dyDescent="0.2">
      <c r="A90" s="35"/>
      <c r="B90" s="6"/>
      <c r="C90" s="19"/>
      <c r="D90" s="14"/>
      <c r="E90" s="32"/>
      <c r="F90" s="32"/>
      <c r="G90" s="31"/>
      <c r="H90" s="6"/>
      <c r="I90" s="21"/>
      <c r="J90" s="59"/>
      <c r="K90" s="24"/>
      <c r="L90" s="19"/>
      <c r="M90" s="22"/>
      <c r="N90" s="22"/>
    </row>
    <row r="91" spans="1:14" x14ac:dyDescent="0.2">
      <c r="A91" s="35"/>
      <c r="B91" s="6"/>
      <c r="C91" s="19"/>
      <c r="D91" s="14"/>
      <c r="E91" s="32"/>
      <c r="F91" s="32"/>
      <c r="G91" s="31"/>
      <c r="H91" s="6"/>
      <c r="I91" s="21"/>
      <c r="J91" s="59"/>
      <c r="K91" s="24"/>
      <c r="L91" s="19"/>
      <c r="M91" s="22"/>
      <c r="N91" s="22"/>
    </row>
    <row r="92" spans="1:14" x14ac:dyDescent="0.2">
      <c r="A92" s="35"/>
      <c r="B92" s="6"/>
      <c r="C92" s="19"/>
      <c r="D92" s="14"/>
      <c r="E92" s="32"/>
      <c r="F92" s="32"/>
      <c r="G92" s="31"/>
      <c r="H92" s="6"/>
      <c r="I92" s="21"/>
      <c r="J92" s="59"/>
      <c r="K92" s="24"/>
      <c r="L92" s="19"/>
      <c r="M92" s="22"/>
      <c r="N92" s="22"/>
    </row>
    <row r="93" spans="1:14" x14ac:dyDescent="0.2">
      <c r="A93" s="35"/>
      <c r="B93" s="6"/>
      <c r="C93" s="19"/>
      <c r="D93" s="14"/>
      <c r="E93" s="32"/>
      <c r="F93" s="32"/>
      <c r="G93" s="31"/>
      <c r="H93" s="6"/>
      <c r="I93" s="21"/>
      <c r="J93" s="59"/>
      <c r="K93" s="24"/>
      <c r="L93" s="19"/>
      <c r="M93" s="22"/>
      <c r="N93" s="22"/>
    </row>
    <row r="94" spans="1:14" x14ac:dyDescent="0.2">
      <c r="A94" s="35"/>
      <c r="B94" s="6"/>
      <c r="C94" s="19"/>
      <c r="D94" s="14"/>
      <c r="E94" s="32"/>
      <c r="F94" s="32"/>
      <c r="G94" s="31"/>
      <c r="H94" s="6"/>
      <c r="I94" s="21"/>
      <c r="J94" s="59"/>
      <c r="K94" s="24"/>
      <c r="L94" s="19"/>
      <c r="M94" s="22"/>
      <c r="N94" s="22"/>
    </row>
    <row r="95" spans="1:14" x14ac:dyDescent="0.2">
      <c r="A95" s="35"/>
      <c r="B95" s="6"/>
      <c r="C95" s="19"/>
      <c r="D95" s="14"/>
      <c r="E95" s="32"/>
      <c r="F95" s="32"/>
      <c r="G95" s="31"/>
      <c r="H95" s="6"/>
      <c r="I95" s="21"/>
      <c r="J95" s="59"/>
      <c r="K95" s="24"/>
      <c r="L95" s="19"/>
      <c r="M95" s="22"/>
      <c r="N95" s="22"/>
    </row>
    <row r="96" spans="1:14" x14ac:dyDescent="0.2">
      <c r="A96" s="35"/>
      <c r="B96" s="6"/>
      <c r="C96" s="19"/>
      <c r="D96" s="14"/>
      <c r="E96" s="32"/>
      <c r="F96" s="32"/>
      <c r="G96" s="31"/>
      <c r="H96" s="6"/>
      <c r="I96" s="21"/>
      <c r="J96" s="59"/>
      <c r="K96" s="24"/>
      <c r="L96" s="19"/>
      <c r="M96" s="22"/>
      <c r="N96" s="22"/>
    </row>
    <row r="97" spans="1:14" x14ac:dyDescent="0.2">
      <c r="A97" s="35"/>
      <c r="B97" s="6"/>
      <c r="C97" s="19"/>
      <c r="D97" s="14"/>
      <c r="E97" s="32"/>
      <c r="F97" s="32"/>
      <c r="G97" s="31"/>
      <c r="H97" s="6"/>
      <c r="I97" s="21"/>
      <c r="J97" s="59"/>
      <c r="K97" s="24"/>
      <c r="L97" s="19"/>
      <c r="M97" s="22"/>
      <c r="N97" s="22"/>
    </row>
    <row r="98" spans="1:14" x14ac:dyDescent="0.2">
      <c r="A98" s="35"/>
      <c r="B98" s="6"/>
      <c r="C98" s="19"/>
      <c r="D98" s="14"/>
      <c r="E98" s="32"/>
      <c r="F98" s="32"/>
      <c r="G98" s="31"/>
      <c r="H98" s="6"/>
      <c r="I98" s="21"/>
      <c r="J98" s="59"/>
      <c r="K98" s="24"/>
      <c r="L98" s="19"/>
      <c r="M98" s="22"/>
      <c r="N98" s="22"/>
    </row>
    <row r="99" spans="1:14" x14ac:dyDescent="0.2">
      <c r="A99" s="35"/>
      <c r="B99" s="6"/>
      <c r="C99" s="19"/>
      <c r="D99" s="14"/>
      <c r="E99" s="32"/>
      <c r="F99" s="32"/>
      <c r="G99" s="31"/>
      <c r="H99" s="6"/>
      <c r="I99" s="21"/>
      <c r="J99" s="59"/>
      <c r="K99" s="24"/>
      <c r="L99" s="19"/>
      <c r="M99" s="22"/>
      <c r="N99" s="22"/>
    </row>
    <row r="100" spans="1:14" x14ac:dyDescent="0.2">
      <c r="A100" s="35"/>
      <c r="B100" s="6"/>
      <c r="C100" s="19"/>
      <c r="D100" s="14"/>
      <c r="E100" s="32"/>
      <c r="F100" s="32"/>
      <c r="G100" s="31"/>
      <c r="H100" s="6"/>
      <c r="I100" s="21"/>
      <c r="J100" s="59"/>
      <c r="K100" s="24"/>
      <c r="L100" s="19"/>
      <c r="M100" s="22"/>
      <c r="N100" s="22"/>
    </row>
    <row r="101" spans="1:14" x14ac:dyDescent="0.2">
      <c r="A101" s="35"/>
      <c r="B101" s="6"/>
      <c r="C101" s="19"/>
      <c r="D101" s="14"/>
      <c r="E101" s="32"/>
      <c r="F101" s="32"/>
      <c r="G101" s="31"/>
      <c r="H101" s="6"/>
      <c r="I101" s="21"/>
      <c r="J101" s="59"/>
      <c r="K101" s="24"/>
      <c r="L101" s="19"/>
      <c r="M101" s="22"/>
      <c r="N101" s="22"/>
    </row>
    <row r="102" spans="1:14" x14ac:dyDescent="0.2">
      <c r="A102" s="35"/>
      <c r="B102" s="6"/>
      <c r="C102" s="19"/>
      <c r="D102" s="14"/>
      <c r="E102" s="32"/>
      <c r="F102" s="32"/>
      <c r="G102" s="31"/>
      <c r="H102" s="6"/>
      <c r="I102" s="21"/>
      <c r="J102" s="59"/>
      <c r="K102" s="24"/>
      <c r="L102" s="19"/>
      <c r="M102" s="22"/>
      <c r="N102" s="22"/>
    </row>
    <row r="103" spans="1:14" x14ac:dyDescent="0.2">
      <c r="A103" s="35"/>
      <c r="B103" s="6"/>
      <c r="C103" s="19"/>
      <c r="D103" s="14"/>
      <c r="E103" s="32"/>
      <c r="F103" s="32"/>
      <c r="G103" s="31"/>
      <c r="H103" s="6"/>
      <c r="I103" s="21"/>
      <c r="J103" s="59"/>
      <c r="K103" s="24"/>
      <c r="L103" s="19"/>
      <c r="M103" s="22"/>
      <c r="N103" s="22"/>
    </row>
    <row r="104" spans="1:14" x14ac:dyDescent="0.2">
      <c r="A104" s="35"/>
      <c r="B104" s="6"/>
      <c r="C104" s="19"/>
      <c r="D104" s="14"/>
      <c r="E104" s="32"/>
      <c r="F104" s="32"/>
      <c r="G104" s="31"/>
      <c r="H104" s="6"/>
      <c r="I104" s="21"/>
      <c r="J104" s="59"/>
      <c r="K104" s="24"/>
      <c r="L104" s="19"/>
      <c r="M104" s="22"/>
      <c r="N104" s="22"/>
    </row>
    <row r="105" spans="1:14" x14ac:dyDescent="0.2">
      <c r="A105" s="35"/>
      <c r="B105" s="6"/>
      <c r="C105" s="19"/>
      <c r="D105" s="14"/>
      <c r="E105" s="32"/>
      <c r="F105" s="32"/>
      <c r="G105" s="31"/>
      <c r="H105" s="6"/>
      <c r="I105" s="21"/>
      <c r="J105" s="59"/>
      <c r="K105" s="24"/>
      <c r="L105" s="19"/>
      <c r="M105" s="22"/>
      <c r="N105" s="22"/>
    </row>
    <row r="106" spans="1:14" x14ac:dyDescent="0.2">
      <c r="A106" s="35"/>
      <c r="B106" s="6"/>
      <c r="C106" s="19"/>
      <c r="D106" s="14"/>
      <c r="E106" s="32"/>
      <c r="F106" s="32"/>
      <c r="G106" s="31"/>
      <c r="H106" s="6"/>
      <c r="I106" s="21"/>
      <c r="J106" s="59"/>
      <c r="K106" s="24"/>
      <c r="L106" s="19"/>
      <c r="M106" s="22"/>
      <c r="N106" s="22"/>
    </row>
    <row r="107" spans="1:14" x14ac:dyDescent="0.2">
      <c r="A107" s="35"/>
      <c r="B107" s="6"/>
      <c r="C107" s="19"/>
      <c r="D107" s="14"/>
      <c r="E107" s="32"/>
      <c r="F107" s="32"/>
      <c r="G107" s="31"/>
      <c r="H107" s="6"/>
      <c r="I107" s="21"/>
      <c r="J107" s="59"/>
      <c r="K107" s="24"/>
      <c r="L107" s="19"/>
      <c r="M107" s="22"/>
      <c r="N107" s="22"/>
    </row>
    <row r="108" spans="1:14" x14ac:dyDescent="0.2">
      <c r="A108" s="35"/>
      <c r="B108" s="6"/>
      <c r="C108" s="19"/>
      <c r="D108" s="14"/>
      <c r="E108" s="32"/>
      <c r="F108" s="32"/>
      <c r="G108" s="31"/>
      <c r="H108" s="6"/>
      <c r="I108" s="21"/>
      <c r="J108" s="59"/>
      <c r="K108" s="24"/>
      <c r="L108" s="19"/>
      <c r="M108" s="22"/>
      <c r="N108" s="22"/>
    </row>
    <row r="109" spans="1:14" x14ac:dyDescent="0.2">
      <c r="A109" s="35"/>
      <c r="B109" s="6"/>
      <c r="C109" s="19"/>
      <c r="D109" s="14"/>
      <c r="E109" s="32"/>
      <c r="F109" s="32"/>
      <c r="G109" s="31"/>
      <c r="H109" s="6"/>
      <c r="I109" s="21"/>
      <c r="J109" s="59"/>
      <c r="K109" s="24"/>
      <c r="L109" s="19"/>
      <c r="M109" s="22"/>
      <c r="N109" s="22"/>
    </row>
    <row r="110" spans="1:14" x14ac:dyDescent="0.2">
      <c r="A110" s="35"/>
      <c r="B110" s="6"/>
      <c r="C110" s="19"/>
      <c r="D110" s="14"/>
      <c r="E110" s="32"/>
      <c r="F110" s="32"/>
      <c r="G110" s="31"/>
      <c r="H110" s="6"/>
      <c r="I110" s="21"/>
      <c r="J110" s="59"/>
      <c r="K110" s="24"/>
      <c r="L110" s="19"/>
      <c r="M110" s="22"/>
      <c r="N110" s="22"/>
    </row>
    <row r="111" spans="1:14" x14ac:dyDescent="0.2">
      <c r="A111" s="35"/>
      <c r="B111" s="6"/>
      <c r="C111" s="19"/>
      <c r="D111" s="14"/>
      <c r="E111" s="32"/>
      <c r="F111" s="32"/>
      <c r="G111" s="31"/>
      <c r="H111" s="6"/>
      <c r="I111" s="21"/>
      <c r="J111" s="59"/>
      <c r="K111" s="24"/>
      <c r="L111" s="19"/>
      <c r="M111" s="22"/>
      <c r="N111" s="22"/>
    </row>
    <row r="112" spans="1:14" x14ac:dyDescent="0.2">
      <c r="A112" s="35"/>
      <c r="B112" s="6"/>
      <c r="C112" s="19"/>
      <c r="D112" s="14"/>
      <c r="E112" s="32"/>
      <c r="F112" s="32"/>
      <c r="G112" s="31"/>
      <c r="H112" s="6"/>
      <c r="I112" s="21"/>
      <c r="J112" s="59"/>
      <c r="K112" s="24"/>
      <c r="L112" s="19"/>
      <c r="M112" s="22"/>
      <c r="N112" s="22"/>
    </row>
    <row r="113" spans="1:14" x14ac:dyDescent="0.2">
      <c r="A113" s="35"/>
      <c r="B113" s="6"/>
      <c r="C113" s="19"/>
      <c r="D113" s="14"/>
      <c r="E113" s="32"/>
      <c r="F113" s="32"/>
      <c r="G113" s="31"/>
      <c r="H113" s="6"/>
      <c r="I113" s="21"/>
      <c r="J113" s="59"/>
      <c r="K113" s="24"/>
      <c r="L113" s="19"/>
      <c r="M113" s="22"/>
      <c r="N113" s="22"/>
    </row>
    <row r="114" spans="1:14" x14ac:dyDescent="0.2">
      <c r="A114" s="35"/>
      <c r="B114" s="6"/>
      <c r="C114" s="19"/>
      <c r="D114" s="14"/>
      <c r="E114" s="32"/>
      <c r="F114" s="32"/>
      <c r="G114" s="31"/>
      <c r="H114" s="6"/>
      <c r="I114" s="21"/>
      <c r="J114" s="59"/>
      <c r="K114" s="24"/>
      <c r="L114" s="19"/>
      <c r="M114" s="22"/>
      <c r="N114" s="22"/>
    </row>
    <row r="115" spans="1:14" x14ac:dyDescent="0.2">
      <c r="A115" s="35"/>
      <c r="B115" s="6"/>
      <c r="C115" s="19"/>
      <c r="D115" s="14"/>
      <c r="E115" s="32"/>
      <c r="F115" s="32"/>
      <c r="G115" s="31"/>
      <c r="H115" s="6"/>
      <c r="I115" s="21"/>
      <c r="J115" s="59"/>
      <c r="K115" s="24"/>
      <c r="L115" s="19"/>
      <c r="M115" s="22"/>
      <c r="N115" s="22"/>
    </row>
    <row r="116" spans="1:14" x14ac:dyDescent="0.2">
      <c r="A116" s="35"/>
      <c r="B116" s="6"/>
      <c r="C116" s="19"/>
      <c r="D116" s="14"/>
      <c r="E116" s="32"/>
      <c r="F116" s="32"/>
      <c r="G116" s="31"/>
      <c r="H116" s="6"/>
      <c r="I116" s="21"/>
      <c r="J116" s="59"/>
      <c r="K116" s="24"/>
      <c r="L116" s="19"/>
      <c r="M116" s="22"/>
      <c r="N116" s="22"/>
    </row>
    <row r="117" spans="1:14" x14ac:dyDescent="0.2">
      <c r="A117" s="35"/>
      <c r="B117" s="6"/>
      <c r="C117" s="19"/>
      <c r="D117" s="14"/>
      <c r="E117" s="32"/>
      <c r="F117" s="32"/>
      <c r="G117" s="31"/>
      <c r="H117" s="6"/>
      <c r="I117" s="21"/>
      <c r="J117" s="59"/>
      <c r="K117" s="24"/>
      <c r="L117" s="19"/>
      <c r="M117" s="22"/>
      <c r="N117" s="22"/>
    </row>
    <row r="118" spans="1:14" x14ac:dyDescent="0.2">
      <c r="A118" s="35"/>
      <c r="B118" s="6"/>
      <c r="C118" s="19"/>
      <c r="D118" s="14"/>
      <c r="E118" s="32"/>
      <c r="F118" s="32"/>
      <c r="G118" s="31"/>
      <c r="H118" s="6"/>
      <c r="I118" s="21"/>
      <c r="J118" s="59"/>
      <c r="K118" s="24"/>
      <c r="L118" s="19"/>
      <c r="M118" s="22"/>
      <c r="N118" s="22"/>
    </row>
    <row r="119" spans="1:14" x14ac:dyDescent="0.2">
      <c r="A119" s="35"/>
      <c r="B119" s="6"/>
      <c r="C119" s="19"/>
      <c r="D119" s="14"/>
      <c r="E119" s="32"/>
      <c r="F119" s="32"/>
      <c r="G119" s="31"/>
      <c r="H119" s="6"/>
      <c r="I119" s="21"/>
      <c r="J119" s="59"/>
      <c r="K119" s="24"/>
      <c r="L119" s="19"/>
      <c r="M119" s="22"/>
      <c r="N119" s="22"/>
    </row>
    <row r="120" spans="1:14" x14ac:dyDescent="0.2">
      <c r="A120" s="35"/>
      <c r="B120" s="6"/>
      <c r="C120" s="19"/>
      <c r="D120" s="14"/>
      <c r="E120" s="32"/>
      <c r="F120" s="32"/>
      <c r="G120" s="31"/>
      <c r="H120" s="6"/>
      <c r="I120" s="21"/>
      <c r="J120" s="59"/>
      <c r="K120" s="24"/>
      <c r="L120" s="19"/>
      <c r="M120" s="22"/>
      <c r="N120" s="22"/>
    </row>
    <row r="121" spans="1:14" x14ac:dyDescent="0.2">
      <c r="A121" s="35"/>
      <c r="B121" s="6"/>
      <c r="C121" s="19"/>
      <c r="D121" s="14"/>
      <c r="E121" s="32"/>
      <c r="F121" s="32"/>
      <c r="G121" s="31"/>
      <c r="H121" s="6"/>
      <c r="I121" s="21"/>
      <c r="J121" s="59"/>
      <c r="K121" s="24"/>
      <c r="L121" s="19"/>
      <c r="M121" s="22"/>
      <c r="N121" s="22"/>
    </row>
    <row r="122" spans="1:14" x14ac:dyDescent="0.2">
      <c r="A122" s="35"/>
      <c r="B122" s="6"/>
      <c r="C122" s="19"/>
      <c r="D122" s="14"/>
      <c r="E122" s="32"/>
      <c r="F122" s="32"/>
      <c r="G122" s="31"/>
      <c r="H122" s="6"/>
      <c r="I122" s="21"/>
      <c r="J122" s="59"/>
      <c r="K122" s="24"/>
      <c r="L122" s="19"/>
      <c r="M122" s="22"/>
      <c r="N122" s="22"/>
    </row>
    <row r="123" spans="1:14" x14ac:dyDescent="0.2">
      <c r="A123" s="35"/>
      <c r="B123" s="6"/>
      <c r="C123" s="19"/>
      <c r="D123" s="14"/>
      <c r="E123" s="32"/>
      <c r="F123" s="32"/>
      <c r="G123" s="31"/>
      <c r="H123" s="6"/>
      <c r="I123" s="21"/>
      <c r="J123" s="59"/>
      <c r="K123" s="24"/>
      <c r="L123" s="19"/>
      <c r="M123" s="22"/>
      <c r="N123" s="22"/>
    </row>
    <row r="124" spans="1:14" x14ac:dyDescent="0.2">
      <c r="A124" s="35"/>
      <c r="B124" s="6"/>
      <c r="C124" s="19"/>
      <c r="D124" s="14"/>
      <c r="E124" s="32"/>
      <c r="F124" s="32"/>
      <c r="G124" s="31"/>
      <c r="H124" s="6"/>
      <c r="I124" s="21"/>
      <c r="J124" s="59"/>
      <c r="K124" s="24"/>
      <c r="L124" s="19"/>
      <c r="M124" s="22"/>
      <c r="N124" s="22"/>
    </row>
    <row r="125" spans="1:14" x14ac:dyDescent="0.2">
      <c r="A125" s="35"/>
      <c r="B125" s="6"/>
      <c r="C125" s="19"/>
      <c r="D125" s="14"/>
      <c r="E125" s="32"/>
      <c r="F125" s="32"/>
      <c r="G125" s="31"/>
      <c r="H125" s="6"/>
      <c r="I125" s="21"/>
      <c r="J125" s="59"/>
      <c r="K125" s="24"/>
      <c r="L125" s="19"/>
      <c r="M125" s="22"/>
      <c r="N125" s="22"/>
    </row>
    <row r="126" spans="1:14" x14ac:dyDescent="0.2">
      <c r="A126" s="35"/>
      <c r="B126" s="6"/>
      <c r="C126" s="19"/>
      <c r="D126" s="14"/>
      <c r="E126" s="32"/>
      <c r="F126" s="32"/>
      <c r="G126" s="31"/>
      <c r="H126" s="6"/>
      <c r="I126" s="21"/>
      <c r="J126" s="59"/>
      <c r="K126" s="24"/>
      <c r="L126" s="19"/>
      <c r="M126" s="22"/>
      <c r="N126" s="22"/>
    </row>
    <row r="127" spans="1:14" x14ac:dyDescent="0.2">
      <c r="A127" s="35"/>
      <c r="B127" s="6"/>
      <c r="C127" s="19"/>
      <c r="D127" s="14"/>
      <c r="E127" s="32"/>
      <c r="F127" s="32"/>
      <c r="G127" s="31"/>
      <c r="H127" s="6"/>
      <c r="I127" s="21"/>
      <c r="J127" s="59"/>
      <c r="K127" s="24"/>
      <c r="L127" s="19"/>
      <c r="M127" s="22"/>
      <c r="N127" s="22"/>
    </row>
    <row r="128" spans="1:14" x14ac:dyDescent="0.2">
      <c r="A128" s="35"/>
      <c r="B128" s="6"/>
      <c r="C128" s="19"/>
      <c r="D128" s="14"/>
      <c r="E128" s="32"/>
      <c r="F128" s="32"/>
      <c r="G128" s="31"/>
      <c r="H128" s="6"/>
      <c r="I128" s="21"/>
      <c r="J128" s="59"/>
      <c r="K128" s="24"/>
      <c r="L128" s="19"/>
      <c r="M128" s="22"/>
      <c r="N128" s="22"/>
    </row>
    <row r="129" spans="1:14" x14ac:dyDescent="0.2">
      <c r="A129" s="35"/>
      <c r="B129" s="6"/>
      <c r="C129" s="19"/>
      <c r="D129" s="14"/>
      <c r="E129" s="32"/>
      <c r="F129" s="32"/>
      <c r="G129" s="31"/>
      <c r="H129" s="6"/>
      <c r="I129" s="21"/>
      <c r="J129" s="59"/>
      <c r="K129" s="24"/>
      <c r="L129" s="19"/>
      <c r="M129" s="22"/>
      <c r="N129" s="22"/>
    </row>
    <row r="130" spans="1:14" x14ac:dyDescent="0.2">
      <c r="A130" s="35"/>
      <c r="B130" s="6"/>
      <c r="C130" s="19"/>
      <c r="D130" s="14"/>
      <c r="E130" s="32"/>
      <c r="F130" s="32"/>
      <c r="G130" s="31"/>
      <c r="H130" s="6"/>
      <c r="I130" s="21"/>
      <c r="J130" s="59"/>
      <c r="K130" s="24"/>
      <c r="L130" s="19"/>
      <c r="M130" s="22"/>
      <c r="N130" s="22"/>
    </row>
    <row r="131" spans="1:14" x14ac:dyDescent="0.2">
      <c r="A131" s="35"/>
      <c r="B131" s="6"/>
      <c r="C131" s="19"/>
      <c r="D131" s="14"/>
      <c r="E131" s="32"/>
      <c r="F131" s="32"/>
      <c r="G131" s="31"/>
      <c r="H131" s="6"/>
      <c r="I131" s="21"/>
      <c r="J131" s="59"/>
      <c r="K131" s="24"/>
      <c r="L131" s="19"/>
      <c r="M131" s="22"/>
      <c r="N131" s="22"/>
    </row>
    <row r="132" spans="1:14" x14ac:dyDescent="0.2">
      <c r="A132" s="35"/>
      <c r="B132" s="6"/>
      <c r="C132" s="19"/>
      <c r="D132" s="14"/>
      <c r="E132" s="32"/>
      <c r="F132" s="32"/>
      <c r="G132" s="31"/>
      <c r="H132" s="6"/>
      <c r="I132" s="21"/>
      <c r="J132" s="59"/>
      <c r="K132" s="24"/>
      <c r="L132" s="19"/>
      <c r="M132" s="22"/>
      <c r="N132" s="22"/>
    </row>
    <row r="133" spans="1:14" x14ac:dyDescent="0.2">
      <c r="A133" s="35"/>
      <c r="B133" s="6"/>
      <c r="C133" s="19"/>
      <c r="D133" s="14"/>
      <c r="E133" s="32"/>
      <c r="F133" s="32"/>
      <c r="G133" s="31"/>
      <c r="H133" s="6"/>
      <c r="I133" s="21"/>
      <c r="J133" s="59"/>
      <c r="K133" s="24"/>
      <c r="L133" s="19"/>
      <c r="M133" s="22"/>
      <c r="N133" s="22"/>
    </row>
    <row r="134" spans="1:14" x14ac:dyDescent="0.2">
      <c r="A134" s="35"/>
      <c r="B134" s="6"/>
      <c r="C134" s="19"/>
      <c r="D134" s="14"/>
      <c r="E134" s="32"/>
      <c r="F134" s="32"/>
      <c r="G134" s="31"/>
      <c r="H134" s="6"/>
      <c r="I134" s="21"/>
      <c r="J134" s="59"/>
      <c r="K134" s="24"/>
      <c r="L134" s="19"/>
      <c r="M134" s="22"/>
      <c r="N134" s="22"/>
    </row>
    <row r="135" spans="1:14" x14ac:dyDescent="0.2">
      <c r="A135" s="35"/>
      <c r="B135" s="6"/>
      <c r="C135" s="19"/>
      <c r="D135" s="14"/>
      <c r="E135" s="32"/>
      <c r="F135" s="32"/>
      <c r="G135" s="31"/>
      <c r="H135" s="6"/>
      <c r="I135" s="21"/>
      <c r="J135" s="59"/>
      <c r="K135" s="24"/>
      <c r="L135" s="19"/>
      <c r="M135" s="22"/>
      <c r="N135" s="22"/>
    </row>
    <row r="136" spans="1:14" x14ac:dyDescent="0.2">
      <c r="A136" s="35"/>
      <c r="B136" s="6"/>
      <c r="C136" s="19"/>
      <c r="D136" s="14"/>
      <c r="E136" s="32"/>
      <c r="F136" s="32"/>
      <c r="G136" s="31"/>
      <c r="H136" s="6"/>
      <c r="I136" s="21"/>
      <c r="J136" s="59"/>
      <c r="K136" s="24"/>
      <c r="L136" s="19"/>
      <c r="M136" s="22"/>
      <c r="N136" s="22"/>
    </row>
    <row r="137" spans="1:14" x14ac:dyDescent="0.2">
      <c r="A137" s="35"/>
      <c r="B137" s="6"/>
      <c r="C137" s="19"/>
      <c r="D137" s="14"/>
      <c r="E137" s="32"/>
      <c r="F137" s="32"/>
      <c r="G137" s="31"/>
      <c r="H137" s="6"/>
      <c r="I137" s="21"/>
      <c r="J137" s="59"/>
      <c r="K137" s="24"/>
      <c r="L137" s="19"/>
      <c r="M137" s="22"/>
      <c r="N137" s="22"/>
    </row>
    <row r="138" spans="1:14" x14ac:dyDescent="0.2">
      <c r="A138" s="35"/>
      <c r="B138" s="6"/>
      <c r="C138" s="19"/>
      <c r="D138" s="14"/>
      <c r="E138" s="32"/>
      <c r="F138" s="32"/>
      <c r="G138" s="31"/>
      <c r="H138" s="6"/>
      <c r="I138" s="21"/>
      <c r="J138" s="59"/>
      <c r="K138" s="24"/>
      <c r="L138" s="19"/>
      <c r="M138" s="22"/>
      <c r="N138" s="22"/>
    </row>
    <row r="139" spans="1:14" x14ac:dyDescent="0.2">
      <c r="A139" s="35"/>
      <c r="B139" s="6"/>
      <c r="C139" s="19"/>
      <c r="D139" s="14"/>
      <c r="E139" s="32"/>
      <c r="F139" s="32"/>
      <c r="G139" s="31"/>
      <c r="H139" s="6"/>
      <c r="I139" s="21"/>
      <c r="J139" s="59"/>
      <c r="K139" s="24"/>
      <c r="L139" s="19"/>
      <c r="M139" s="22"/>
      <c r="N139" s="22"/>
    </row>
    <row r="140" spans="1:14" x14ac:dyDescent="0.2">
      <c r="A140" s="35"/>
      <c r="B140" s="6"/>
      <c r="C140" s="19"/>
      <c r="D140" s="14"/>
      <c r="E140" s="32"/>
      <c r="F140" s="32"/>
      <c r="G140" s="31"/>
      <c r="H140" s="6"/>
      <c r="I140" s="21"/>
      <c r="J140" s="59"/>
      <c r="K140" s="24"/>
      <c r="L140" s="19"/>
      <c r="M140" s="22"/>
      <c r="N140" s="22"/>
    </row>
    <row r="141" spans="1:14" x14ac:dyDescent="0.2">
      <c r="A141" s="35"/>
      <c r="B141" s="6"/>
      <c r="C141" s="19"/>
      <c r="D141" s="14"/>
      <c r="E141" s="32"/>
      <c r="F141" s="32"/>
      <c r="G141" s="31"/>
      <c r="H141" s="6"/>
      <c r="I141" s="21"/>
      <c r="J141" s="59"/>
      <c r="K141" s="24"/>
      <c r="L141" s="19"/>
      <c r="M141" s="22"/>
      <c r="N141" s="22"/>
    </row>
    <row r="142" spans="1:14" x14ac:dyDescent="0.2">
      <c r="A142" s="35"/>
      <c r="B142" s="6"/>
      <c r="C142" s="19"/>
      <c r="D142" s="14"/>
      <c r="E142" s="32"/>
      <c r="F142" s="32"/>
      <c r="G142" s="31"/>
      <c r="H142" s="6"/>
      <c r="I142" s="21"/>
      <c r="J142" s="59"/>
      <c r="K142" s="24"/>
      <c r="L142" s="19"/>
      <c r="M142" s="22"/>
      <c r="N142" s="22"/>
    </row>
    <row r="143" spans="1:14" x14ac:dyDescent="0.2">
      <c r="A143" s="35"/>
      <c r="B143" s="6"/>
      <c r="C143" s="19"/>
      <c r="D143" s="14"/>
      <c r="E143" s="32"/>
      <c r="F143" s="32"/>
      <c r="G143" s="31"/>
      <c r="H143" s="6"/>
      <c r="I143" s="21"/>
      <c r="J143" s="59"/>
      <c r="K143" s="24"/>
      <c r="L143" s="19"/>
      <c r="M143" s="22"/>
      <c r="N143" s="22"/>
    </row>
    <row r="144" spans="1:14" x14ac:dyDescent="0.2">
      <c r="A144" s="35"/>
      <c r="B144" s="6"/>
      <c r="C144" s="19"/>
      <c r="D144" s="14"/>
      <c r="E144" s="32"/>
      <c r="F144" s="32"/>
      <c r="G144" s="31"/>
      <c r="H144" s="6"/>
      <c r="I144" s="21"/>
      <c r="J144" s="59"/>
      <c r="K144" s="24"/>
      <c r="L144" s="19"/>
      <c r="M144" s="22"/>
      <c r="N144" s="22"/>
    </row>
  </sheetData>
  <mergeCells count="3">
    <mergeCell ref="G1:G2"/>
    <mergeCell ref="A18:K18"/>
    <mergeCell ref="A16:M16"/>
  </mergeCells>
  <phoneticPr fontId="1" type="noConversion"/>
  <conditionalFormatting sqref="K17:K144 K15">
    <cfRule type="dataBar" priority="1">
      <dataBar>
        <cfvo type="num" val="0"/>
        <cfvo type="num" val="1"/>
        <color theme="5"/>
      </dataBar>
      <extLst>
        <ext xmlns:x14="http://schemas.microsoft.com/office/spreadsheetml/2009/9/main" uri="{B025F937-C7B1-47D3-B67F-A62EFF666E3E}">
          <x14:id>{F9084A57-163B-DA45-81DB-7A3D16152A12}</x14:id>
        </ext>
      </extLst>
    </cfRule>
  </conditionalFormatting>
  <conditionalFormatting sqref="K38">
    <cfRule type="dataBar" priority="6">
      <dataBar>
        <cfvo type="num" val="0"/>
        <cfvo type="num" val="1"/>
        <color theme="5"/>
      </dataBar>
      <extLst>
        <ext xmlns:x14="http://schemas.microsoft.com/office/spreadsheetml/2009/9/main" uri="{B025F937-C7B1-47D3-B67F-A62EFF666E3E}">
          <x14:id>{FB685261-66FC-DB41-8810-7D0F7930BB74}</x14:id>
        </ext>
      </extLst>
    </cfRule>
  </conditionalFormatting>
  <dataValidations count="1">
    <dataValidation type="list" errorStyle="warning" allowBlank="1" showInputMessage="1" showErrorMessage="1" error="Select a value from the dropdown list. Or enter one of the following: 0%, 25%, 50%, 75%, or 100%" sqref="K15 K19:K144" xr:uid="{38EEA788-F60E-B54D-9115-366AD6BD2CD9}">
      <formula1>"0%,25%,50%,75%,100%"</formula1>
    </dataValidation>
  </dataValidations>
  <pageMargins left="0.7" right="0.7" top="0.75" bottom="0.75" header="0.3" footer="0.3"/>
  <pageSetup paperSize="9" orientation="portrait" horizontalDpi="0" verticalDpi="0"/>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9084A57-163B-DA45-81DB-7A3D16152A12}">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K17:K144 K15</xm:sqref>
        </x14:conditionalFormatting>
        <x14:conditionalFormatting xmlns:xm="http://schemas.microsoft.com/office/excel/2006/main">
          <x14:cfRule type="dataBar" id="{FB685261-66FC-DB41-8810-7D0F7930BB74}">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K38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F4BAC29-377D-294E-81C5-A78688E0FB10}">
          <x14:formula1>
            <xm:f>Dropdowns!$I$2:$I$15</xm:f>
          </x14:formula1>
          <xm:sqref>H4:H13 H15 H19:H144</xm:sqref>
        </x14:dataValidation>
        <x14:dataValidation type="list" allowBlank="1" showInputMessage="1" showErrorMessage="1" xr:uid="{9FF4862C-3D14-3D45-9C57-BF4689C58562}">
          <x14:formula1>
            <xm:f>Dropdowns!$C$2:$C$8</xm:f>
          </x14:formula1>
          <xm:sqref>B4:B13 B15 B19:B144</xm:sqref>
        </x14:dataValidation>
        <x14:dataValidation type="list" allowBlank="1" showInputMessage="1" showErrorMessage="1" xr:uid="{1D074CDC-BCFD-EF4B-8E32-B3B4D581E854}">
          <x14:formula1>
            <xm:f>Dropdowns!$K$2:$K$6</xm:f>
          </x14:formula1>
          <xm:sqref>J41:J144 J4:J13 J15 J19:J39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9052-A013-F642-841B-05A73D0C70F3}">
  <dimension ref="A1:M139"/>
  <sheetViews>
    <sheetView showGridLines="0" zoomScale="120" zoomScaleNormal="120" workbookViewId="0">
      <selection activeCell="A11" sqref="A11:M13"/>
    </sheetView>
  </sheetViews>
  <sheetFormatPr baseColWidth="10" defaultRowHeight="15" x14ac:dyDescent="0.2"/>
  <cols>
    <col min="1" max="1" width="11.1640625" customWidth="1"/>
    <col min="2" max="2" width="20.1640625" bestFit="1" customWidth="1"/>
    <col min="3" max="3" width="24.33203125" customWidth="1"/>
    <col min="4" max="4" width="24" customWidth="1"/>
    <col min="5" max="5" width="15.1640625" bestFit="1" customWidth="1"/>
    <col min="6" max="6" width="14.6640625" bestFit="1" customWidth="1"/>
    <col min="7" max="7" width="14.1640625" bestFit="1" customWidth="1"/>
    <col min="9" max="9" width="30.6640625" customWidth="1"/>
    <col min="10" max="10" width="16" customWidth="1"/>
    <col min="11" max="11" width="51.83203125" customWidth="1"/>
    <col min="12" max="12" width="23.6640625" bestFit="1" customWidth="1"/>
    <col min="13" max="13" width="26.1640625" bestFit="1" customWidth="1"/>
  </cols>
  <sheetData>
    <row r="1" spans="1:13" x14ac:dyDescent="0.2">
      <c r="E1" s="68" t="s">
        <v>115</v>
      </c>
      <c r="G1" s="126">
        <v>17.05</v>
      </c>
    </row>
    <row r="2" spans="1:13" ht="16" thickBot="1" x14ac:dyDescent="0.25">
      <c r="E2" s="67">
        <v>1.08</v>
      </c>
      <c r="G2" s="127"/>
    </row>
    <row r="3" spans="1:13" ht="16" x14ac:dyDescent="0.2">
      <c r="A3" t="s">
        <v>183</v>
      </c>
      <c r="B3" s="51" t="s">
        <v>152</v>
      </c>
      <c r="C3" s="53" t="s">
        <v>117</v>
      </c>
      <c r="D3" t="s">
        <v>526</v>
      </c>
      <c r="E3" s="52" t="s">
        <v>256</v>
      </c>
      <c r="F3" s="52" t="s">
        <v>342</v>
      </c>
      <c r="G3" s="52" t="s">
        <v>70</v>
      </c>
      <c r="H3" s="52" t="s">
        <v>154</v>
      </c>
      <c r="I3" t="s">
        <v>527</v>
      </c>
      <c r="J3" s="54" t="s">
        <v>116</v>
      </c>
      <c r="K3" s="1" t="s">
        <v>428</v>
      </c>
      <c r="L3" s="55" t="s">
        <v>113</v>
      </c>
      <c r="M3" s="55" t="s">
        <v>112</v>
      </c>
    </row>
    <row r="4" spans="1:13" ht="48" x14ac:dyDescent="0.2">
      <c r="A4" s="85" t="s">
        <v>273</v>
      </c>
      <c r="B4" s="85" t="s">
        <v>129</v>
      </c>
      <c r="C4" s="82" t="s">
        <v>17</v>
      </c>
      <c r="D4" s="82" t="s">
        <v>164</v>
      </c>
      <c r="E4" s="88">
        <f>Table810121314151617[[#This Row],[Euro: Amount]]*$E$2</f>
        <v>2160000</v>
      </c>
      <c r="F4" s="100">
        <v>2000000</v>
      </c>
      <c r="G4" s="99">
        <f>Table810121314151617[[#This Row],[Total US$ ]]*$G$1</f>
        <v>36828000</v>
      </c>
      <c r="H4" s="85" t="s">
        <v>143</v>
      </c>
      <c r="I4" s="96" t="s">
        <v>587</v>
      </c>
      <c r="J4" s="109" t="s">
        <v>329</v>
      </c>
      <c r="K4" s="82" t="s">
        <v>511</v>
      </c>
      <c r="L4" s="111">
        <v>44562</v>
      </c>
      <c r="M4" s="111">
        <v>46022</v>
      </c>
    </row>
    <row r="5" spans="1:13" ht="32" x14ac:dyDescent="0.2">
      <c r="A5" s="85" t="s">
        <v>274</v>
      </c>
      <c r="B5" s="85" t="s">
        <v>129</v>
      </c>
      <c r="C5" s="82" t="s">
        <v>19</v>
      </c>
      <c r="D5" s="82" t="s">
        <v>20</v>
      </c>
      <c r="E5" s="88">
        <f>Table810121314151617[[#This Row],[Euro: Amount]]*$E$2</f>
        <v>186580.56489795921</v>
      </c>
      <c r="F5" s="100">
        <v>172759.78231292518</v>
      </c>
      <c r="G5" s="99">
        <f>Table810121314151617[[#This Row],[Total US$ ]]*$G$1</f>
        <v>3181198.6315102046</v>
      </c>
      <c r="H5" s="85" t="s">
        <v>143</v>
      </c>
      <c r="I5" s="96" t="s">
        <v>588</v>
      </c>
      <c r="J5" s="109" t="s">
        <v>329</v>
      </c>
      <c r="K5" s="82" t="s">
        <v>512</v>
      </c>
      <c r="L5" s="111">
        <v>44880</v>
      </c>
      <c r="M5" s="111">
        <v>45961</v>
      </c>
    </row>
    <row r="6" spans="1:13" ht="80" x14ac:dyDescent="0.2">
      <c r="A6" s="85" t="s">
        <v>275</v>
      </c>
      <c r="B6" s="82" t="s">
        <v>96</v>
      </c>
      <c r="C6" s="82" t="s">
        <v>339</v>
      </c>
      <c r="D6" s="82" t="s">
        <v>69</v>
      </c>
      <c r="E6" s="88">
        <f>Table810121314151617[[#This Row],[Euro: Amount]]*$E$2</f>
        <v>1867752.0000000002</v>
      </c>
      <c r="F6" s="100">
        <v>1729400</v>
      </c>
      <c r="G6" s="99">
        <f>Table810121314151617[[#This Row],[Total US$ ]]*$G$1</f>
        <v>31845171.600000005</v>
      </c>
      <c r="H6" s="85" t="s">
        <v>143</v>
      </c>
      <c r="I6" s="96" t="s">
        <v>110</v>
      </c>
      <c r="J6" s="109" t="s">
        <v>329</v>
      </c>
      <c r="K6" s="82" t="s">
        <v>513</v>
      </c>
      <c r="L6" s="111">
        <v>44927</v>
      </c>
      <c r="M6" s="111">
        <v>47848</v>
      </c>
    </row>
    <row r="7" spans="1:13" ht="64" x14ac:dyDescent="0.2">
      <c r="A7" s="85" t="s">
        <v>276</v>
      </c>
      <c r="B7" s="82" t="s">
        <v>126</v>
      </c>
      <c r="C7" s="82" t="s">
        <v>340</v>
      </c>
      <c r="D7" s="82" t="s">
        <v>395</v>
      </c>
      <c r="E7" s="88">
        <f>Table810121314151617[[#This Row],[Euro: Amount]]*$E$2</f>
        <v>54000000</v>
      </c>
      <c r="F7" s="100">
        <v>50000000</v>
      </c>
      <c r="G7" s="99">
        <f>Table810121314151617[[#This Row],[Total US$ ]]*$G$1</f>
        <v>920700000</v>
      </c>
      <c r="H7" s="85" t="s">
        <v>143</v>
      </c>
      <c r="I7" s="96" t="s">
        <v>11</v>
      </c>
      <c r="J7" s="109" t="s">
        <v>338</v>
      </c>
      <c r="K7" s="82" t="s">
        <v>514</v>
      </c>
      <c r="L7" s="111"/>
      <c r="M7" s="111"/>
    </row>
    <row r="8" spans="1:13" ht="64" x14ac:dyDescent="0.2">
      <c r="A8" s="85" t="s">
        <v>277</v>
      </c>
      <c r="B8" s="85" t="s">
        <v>126</v>
      </c>
      <c r="C8" s="82" t="s">
        <v>341</v>
      </c>
      <c r="D8" s="82" t="s">
        <v>164</v>
      </c>
      <c r="E8" s="88">
        <f>Table810121314151617[[#This Row],[Euro: Amount]]*$E$2</f>
        <v>2160000</v>
      </c>
      <c r="F8" s="100">
        <v>2000000</v>
      </c>
      <c r="G8" s="99">
        <f>Table810121314151617[[#This Row],[Total US$ ]]*$G$1</f>
        <v>36828000</v>
      </c>
      <c r="H8" s="85" t="s">
        <v>143</v>
      </c>
      <c r="I8" s="96" t="s">
        <v>164</v>
      </c>
      <c r="J8" s="109" t="s">
        <v>329</v>
      </c>
      <c r="K8" s="82" t="s">
        <v>515</v>
      </c>
      <c r="L8" s="111">
        <v>44562</v>
      </c>
      <c r="M8" s="111">
        <v>46022</v>
      </c>
    </row>
    <row r="9" spans="1:13" x14ac:dyDescent="0.2">
      <c r="A9" s="85"/>
      <c r="B9" s="85"/>
      <c r="C9" s="81"/>
      <c r="D9" s="81"/>
      <c r="E9" s="86">
        <f>SUBTOTAL(109,Table810121314151617[Total US$ ])</f>
        <v>60374332.564897962</v>
      </c>
      <c r="F9" s="100">
        <f>SUBTOTAL(109,Table810121314151617[Euro: Amount])</f>
        <v>55902159.782312922</v>
      </c>
      <c r="G9" s="99">
        <f>SUBTOTAL(109,Table810121314151617[Total ZAR])</f>
        <v>1029382370.2315102</v>
      </c>
      <c r="H9" s="6"/>
      <c r="I9" s="56"/>
      <c r="J9" s="58"/>
      <c r="K9" s="28"/>
      <c r="L9" s="57"/>
      <c r="M9" s="57"/>
    </row>
    <row r="10" spans="1:13" x14ac:dyDescent="0.2">
      <c r="A10" s="35"/>
      <c r="B10" s="26"/>
      <c r="C10" s="13"/>
      <c r="D10" s="13"/>
      <c r="E10" s="29"/>
      <c r="F10" s="29"/>
      <c r="G10" s="31"/>
      <c r="H10" s="6"/>
      <c r="I10" s="7"/>
      <c r="J10" s="27"/>
      <c r="K10" s="7"/>
      <c r="L10" s="15"/>
      <c r="M10" s="15"/>
    </row>
    <row r="11" spans="1:13" ht="26" customHeight="1" x14ac:dyDescent="0.2">
      <c r="A11" s="130" t="s">
        <v>589</v>
      </c>
      <c r="B11" s="130"/>
      <c r="C11" s="130"/>
      <c r="D11" s="130"/>
      <c r="E11" s="130"/>
      <c r="F11" s="130"/>
      <c r="G11" s="130"/>
      <c r="H11" s="130"/>
      <c r="I11" s="130"/>
      <c r="J11" s="130"/>
      <c r="K11" s="130"/>
      <c r="L11" s="130"/>
      <c r="M11" s="130"/>
    </row>
    <row r="12" spans="1:13" x14ac:dyDescent="0.2">
      <c r="B12" s="1"/>
      <c r="F12" s="1"/>
      <c r="G12" s="1"/>
      <c r="H12" s="8"/>
      <c r="I12" s="1"/>
      <c r="J12" s="3"/>
      <c r="L12" s="18"/>
      <c r="M12" s="18"/>
    </row>
    <row r="13" spans="1:13" x14ac:dyDescent="0.2">
      <c r="A13" s="125" t="s">
        <v>590</v>
      </c>
      <c r="B13" s="125"/>
      <c r="C13" s="125"/>
      <c r="D13" s="125"/>
      <c r="E13" s="125"/>
      <c r="F13" s="125"/>
      <c r="G13" s="125"/>
      <c r="H13" s="125"/>
      <c r="I13" s="125"/>
      <c r="J13" s="125"/>
      <c r="K13" s="125"/>
      <c r="L13" s="15"/>
      <c r="M13" s="18"/>
    </row>
    <row r="14" spans="1:13" x14ac:dyDescent="0.2">
      <c r="A14" s="35"/>
      <c r="B14" s="6"/>
      <c r="C14" s="14"/>
      <c r="D14" s="14"/>
      <c r="E14" s="30"/>
      <c r="F14" s="30"/>
      <c r="G14" s="31"/>
      <c r="H14" s="6"/>
      <c r="I14" s="17"/>
      <c r="J14" s="27"/>
      <c r="K14" s="17"/>
      <c r="L14" s="18"/>
      <c r="M14" s="18"/>
    </row>
    <row r="15" spans="1:13" x14ac:dyDescent="0.2">
      <c r="A15" s="35"/>
      <c r="B15" s="6"/>
      <c r="C15" s="14"/>
      <c r="D15" s="14"/>
      <c r="E15" s="30"/>
      <c r="F15" s="30"/>
      <c r="G15" s="31"/>
      <c r="H15" s="6"/>
      <c r="I15" s="17"/>
      <c r="J15" s="27"/>
      <c r="K15" s="17"/>
      <c r="L15" s="18"/>
      <c r="M15" s="18"/>
    </row>
    <row r="16" spans="1:13" x14ac:dyDescent="0.2">
      <c r="A16" s="35"/>
      <c r="B16" s="26"/>
      <c r="C16" s="14"/>
      <c r="D16" s="14"/>
      <c r="E16" s="30"/>
      <c r="F16" s="30"/>
      <c r="G16" s="31"/>
      <c r="H16" s="5"/>
      <c r="I16" s="17"/>
      <c r="J16" s="27"/>
      <c r="K16" s="17"/>
      <c r="L16" s="18"/>
      <c r="M16" s="18"/>
    </row>
    <row r="17" spans="1:13" x14ac:dyDescent="0.2">
      <c r="A17" s="35"/>
      <c r="B17" s="26"/>
      <c r="C17" s="13"/>
      <c r="D17" s="13"/>
      <c r="E17" s="29"/>
      <c r="F17" s="29"/>
      <c r="G17" s="31"/>
      <c r="H17" s="5"/>
      <c r="I17" s="7"/>
      <c r="J17" s="27"/>
      <c r="K17" s="7"/>
      <c r="L17" s="18"/>
      <c r="M17" s="15"/>
    </row>
    <row r="18" spans="1:13" x14ac:dyDescent="0.2">
      <c r="A18" s="35"/>
      <c r="B18" s="26"/>
      <c r="C18" s="13"/>
      <c r="D18" s="13"/>
      <c r="E18" s="29"/>
      <c r="F18" s="29"/>
      <c r="G18" s="31"/>
      <c r="H18" s="5"/>
      <c r="I18" s="7"/>
      <c r="J18" s="27"/>
      <c r="K18" s="13"/>
      <c r="L18" s="18"/>
      <c r="M18" s="15"/>
    </row>
    <row r="19" spans="1:13" x14ac:dyDescent="0.2">
      <c r="A19" s="35"/>
      <c r="B19" s="26"/>
      <c r="C19" s="13"/>
      <c r="D19" s="13"/>
      <c r="E19" s="29"/>
      <c r="F19" s="29"/>
      <c r="G19" s="31"/>
      <c r="H19" s="6"/>
      <c r="I19" s="7"/>
      <c r="J19" s="27"/>
      <c r="K19" s="13"/>
      <c r="L19" s="15"/>
      <c r="M19" s="15"/>
    </row>
    <row r="20" spans="1:13" x14ac:dyDescent="0.2">
      <c r="A20" s="35"/>
      <c r="B20" s="26"/>
      <c r="C20" s="13"/>
      <c r="D20" s="13"/>
      <c r="E20" s="29"/>
      <c r="F20" s="29"/>
      <c r="G20" s="31"/>
      <c r="H20" s="6"/>
      <c r="I20" s="7"/>
      <c r="J20" s="27"/>
      <c r="K20" s="13"/>
      <c r="L20" s="15"/>
      <c r="M20" s="15"/>
    </row>
    <row r="21" spans="1:13" x14ac:dyDescent="0.2">
      <c r="A21" s="35"/>
      <c r="B21" s="26"/>
      <c r="C21" s="13"/>
      <c r="D21" s="13"/>
      <c r="E21" s="29"/>
      <c r="F21" s="29"/>
      <c r="G21" s="31"/>
      <c r="H21" s="6"/>
      <c r="I21" s="7"/>
      <c r="J21" s="27"/>
      <c r="K21" s="13"/>
      <c r="L21" s="15"/>
      <c r="M21" s="15"/>
    </row>
    <row r="22" spans="1:13" x14ac:dyDescent="0.2">
      <c r="A22" s="35"/>
      <c r="B22" s="26"/>
      <c r="C22" s="13"/>
      <c r="D22" s="13"/>
      <c r="E22" s="29"/>
      <c r="F22" s="29"/>
      <c r="G22" s="31"/>
      <c r="H22" s="6"/>
      <c r="I22" s="7"/>
      <c r="J22" s="27"/>
      <c r="K22" s="7"/>
      <c r="L22" s="15"/>
      <c r="M22" s="15"/>
    </row>
    <row r="23" spans="1:13" x14ac:dyDescent="0.2">
      <c r="A23" s="35"/>
      <c r="B23" s="26"/>
      <c r="C23" s="13"/>
      <c r="D23" s="13"/>
      <c r="E23" s="29"/>
      <c r="F23" s="29"/>
      <c r="G23" s="31"/>
      <c r="H23" s="6"/>
      <c r="I23" s="7"/>
      <c r="J23" s="27"/>
      <c r="K23" s="7"/>
      <c r="L23" s="15"/>
      <c r="M23" s="15"/>
    </row>
    <row r="24" spans="1:13" x14ac:dyDescent="0.2">
      <c r="A24" s="35"/>
      <c r="B24" s="26"/>
      <c r="C24" s="13"/>
      <c r="D24" s="13"/>
      <c r="E24" s="29"/>
      <c r="F24" s="29"/>
      <c r="G24" s="31"/>
      <c r="H24" s="6"/>
      <c r="I24" s="7"/>
      <c r="J24" s="27"/>
      <c r="K24" s="13"/>
      <c r="L24" s="18"/>
      <c r="M24" s="15"/>
    </row>
    <row r="25" spans="1:13" x14ac:dyDescent="0.2">
      <c r="A25" s="35"/>
      <c r="B25" s="26"/>
      <c r="C25" s="13"/>
      <c r="D25" s="13"/>
      <c r="E25" s="29"/>
      <c r="F25" s="29"/>
      <c r="G25" s="31"/>
      <c r="H25" s="6"/>
      <c r="I25" s="7"/>
      <c r="J25" s="27"/>
      <c r="K25" s="7"/>
      <c r="L25" s="15"/>
      <c r="M25" s="15"/>
    </row>
    <row r="26" spans="1:13" x14ac:dyDescent="0.2">
      <c r="A26" s="35"/>
      <c r="B26" s="39"/>
      <c r="C26" s="39"/>
      <c r="D26" s="40"/>
      <c r="E26" s="47"/>
      <c r="F26" s="47"/>
      <c r="G26" s="31"/>
      <c r="H26" s="5"/>
      <c r="I26" s="41"/>
      <c r="J26" s="43"/>
      <c r="K26" s="41"/>
      <c r="L26" s="48"/>
      <c r="M26" s="48"/>
    </row>
    <row r="27" spans="1:13" x14ac:dyDescent="0.2">
      <c r="A27" s="35"/>
      <c r="B27" s="35"/>
      <c r="C27" s="6"/>
      <c r="D27" s="33"/>
      <c r="E27" s="49"/>
      <c r="F27" s="49"/>
      <c r="G27" s="31"/>
      <c r="H27" s="5"/>
      <c r="I27" s="36"/>
      <c r="J27" s="27"/>
      <c r="K27" s="36"/>
      <c r="L27" s="38"/>
      <c r="M27" s="38"/>
    </row>
    <row r="28" spans="1:13" x14ac:dyDescent="0.2">
      <c r="A28" s="35"/>
      <c r="B28" s="39"/>
      <c r="C28" s="5"/>
      <c r="D28" s="40"/>
      <c r="E28" s="47"/>
      <c r="F28" s="47"/>
      <c r="G28" s="31"/>
      <c r="H28" s="5"/>
      <c r="I28" s="41"/>
      <c r="J28" s="43"/>
      <c r="K28" s="41"/>
      <c r="L28" s="48"/>
      <c r="M28" s="48"/>
    </row>
    <row r="29" spans="1:13" x14ac:dyDescent="0.2">
      <c r="A29" s="35"/>
      <c r="B29" s="39"/>
      <c r="C29" s="40"/>
      <c r="D29" s="40"/>
      <c r="E29" s="47"/>
      <c r="F29" s="47"/>
      <c r="G29" s="31"/>
      <c r="H29" s="5"/>
      <c r="I29" s="41"/>
      <c r="J29" s="43"/>
      <c r="K29" s="41"/>
      <c r="L29" s="48"/>
      <c r="M29" s="48"/>
    </row>
    <row r="30" spans="1:13" x14ac:dyDescent="0.2">
      <c r="A30" s="35"/>
      <c r="B30" s="35"/>
      <c r="C30" s="33"/>
      <c r="D30" s="33"/>
      <c r="E30" s="49"/>
      <c r="F30" s="49"/>
      <c r="G30" s="31"/>
      <c r="H30" s="6"/>
      <c r="I30" s="36"/>
      <c r="J30" s="27"/>
      <c r="K30" s="36"/>
      <c r="L30" s="38"/>
      <c r="M30" s="38"/>
    </row>
    <row r="31" spans="1:13" x14ac:dyDescent="0.2">
      <c r="A31" s="35"/>
      <c r="B31" s="39"/>
      <c r="C31" s="40"/>
      <c r="D31" s="40"/>
      <c r="E31" s="39"/>
      <c r="F31" s="39"/>
      <c r="G31" s="31"/>
      <c r="H31" s="5"/>
      <c r="I31" s="41"/>
      <c r="J31" s="43"/>
      <c r="K31" s="41"/>
      <c r="L31" s="48"/>
      <c r="M31" s="48"/>
    </row>
    <row r="32" spans="1:13" x14ac:dyDescent="0.2">
      <c r="A32" s="35"/>
      <c r="B32" s="39"/>
      <c r="C32" s="40"/>
      <c r="D32" s="40"/>
      <c r="E32" s="39"/>
      <c r="F32" s="39"/>
      <c r="G32" s="31"/>
      <c r="H32" s="5"/>
      <c r="I32" s="41"/>
      <c r="J32" s="43"/>
      <c r="K32" s="41"/>
      <c r="L32" s="48"/>
      <c r="M32" s="48"/>
    </row>
    <row r="33" spans="1:13" x14ac:dyDescent="0.2">
      <c r="A33" s="35"/>
      <c r="B33" s="35"/>
      <c r="C33" s="40"/>
      <c r="D33" s="33"/>
      <c r="E33" s="49"/>
      <c r="F33" s="49"/>
      <c r="G33" s="31"/>
      <c r="H33" s="6"/>
      <c r="I33" s="36"/>
      <c r="J33" s="27"/>
      <c r="K33" s="36"/>
      <c r="L33" s="38"/>
      <c r="M33" s="38"/>
    </row>
    <row r="34" spans="1:13" x14ac:dyDescent="0.2">
      <c r="A34" s="35"/>
      <c r="B34" s="35"/>
      <c r="C34" s="33"/>
      <c r="D34" s="33"/>
      <c r="E34" s="49"/>
      <c r="F34" s="49"/>
      <c r="G34" s="31"/>
      <c r="H34" s="6"/>
      <c r="I34" s="36"/>
      <c r="J34" s="27"/>
      <c r="K34" s="36"/>
      <c r="L34" s="38"/>
      <c r="M34" s="38"/>
    </row>
    <row r="35" spans="1:13" x14ac:dyDescent="0.2">
      <c r="A35" s="35"/>
      <c r="B35" s="39"/>
      <c r="C35" s="40"/>
      <c r="D35" s="40"/>
      <c r="E35" s="39"/>
      <c r="F35" s="39"/>
      <c r="G35" s="31"/>
      <c r="H35" s="6"/>
      <c r="I35" s="41"/>
      <c r="J35" s="42"/>
      <c r="K35" s="41"/>
      <c r="L35" s="48"/>
      <c r="M35" s="48"/>
    </row>
    <row r="36" spans="1:13" x14ac:dyDescent="0.2">
      <c r="A36" s="35"/>
      <c r="B36" s="35"/>
      <c r="C36" s="33"/>
      <c r="D36" s="33"/>
      <c r="E36" s="49"/>
      <c r="F36" s="49"/>
      <c r="G36" s="31"/>
      <c r="H36" s="6"/>
      <c r="I36" s="36"/>
      <c r="J36" s="27"/>
      <c r="K36" s="36"/>
      <c r="L36" s="38"/>
      <c r="M36" s="38"/>
    </row>
    <row r="37" spans="1:13" x14ac:dyDescent="0.2">
      <c r="A37" s="35"/>
      <c r="B37" s="6"/>
      <c r="C37" s="19"/>
      <c r="D37" s="14"/>
      <c r="E37" s="32"/>
      <c r="F37" s="32"/>
      <c r="G37" s="31"/>
      <c r="H37" s="6"/>
      <c r="I37" s="21"/>
      <c r="J37" s="59"/>
      <c r="K37" s="19"/>
      <c r="L37" s="22"/>
      <c r="M37" s="22"/>
    </row>
    <row r="38" spans="1:13" x14ac:dyDescent="0.2">
      <c r="A38" s="35"/>
      <c r="B38" s="6"/>
      <c r="C38" s="19"/>
      <c r="D38" s="14"/>
      <c r="E38" s="32"/>
      <c r="F38" s="32"/>
      <c r="G38" s="31"/>
      <c r="H38" s="6"/>
      <c r="I38" s="21"/>
      <c r="J38" s="59"/>
      <c r="K38" s="19"/>
      <c r="L38" s="22"/>
      <c r="M38" s="22"/>
    </row>
    <row r="39" spans="1:13" x14ac:dyDescent="0.2">
      <c r="A39" s="35"/>
      <c r="B39" s="6"/>
      <c r="C39" s="19"/>
      <c r="D39" s="14"/>
      <c r="E39" s="32"/>
      <c r="F39" s="32"/>
      <c r="G39" s="31"/>
      <c r="H39" s="6"/>
      <c r="I39" s="21"/>
      <c r="J39" s="59"/>
      <c r="K39" s="19"/>
      <c r="L39" s="22"/>
      <c r="M39" s="22"/>
    </row>
    <row r="40" spans="1:13" x14ac:dyDescent="0.2">
      <c r="A40" s="35"/>
      <c r="B40" s="6"/>
      <c r="C40" s="19"/>
      <c r="D40" s="14"/>
      <c r="E40" s="32"/>
      <c r="F40" s="32"/>
      <c r="G40" s="31"/>
      <c r="H40" s="6"/>
      <c r="I40" s="21"/>
      <c r="J40" s="59"/>
      <c r="K40" s="19"/>
      <c r="L40" s="22"/>
      <c r="M40" s="22"/>
    </row>
    <row r="41" spans="1:13" x14ac:dyDescent="0.2">
      <c r="A41" s="35"/>
      <c r="B41" s="6"/>
      <c r="C41" s="19"/>
      <c r="D41" s="14"/>
      <c r="E41" s="32"/>
      <c r="F41" s="32"/>
      <c r="G41" s="31"/>
      <c r="H41" s="6"/>
      <c r="I41" s="21"/>
      <c r="J41" s="59"/>
      <c r="K41" s="19"/>
      <c r="L41" s="22"/>
      <c r="M41" s="22"/>
    </row>
    <row r="42" spans="1:13" x14ac:dyDescent="0.2">
      <c r="A42" s="35"/>
      <c r="B42" s="6"/>
      <c r="C42" s="19"/>
      <c r="D42" s="14"/>
      <c r="E42" s="32"/>
      <c r="F42" s="32"/>
      <c r="G42" s="31"/>
      <c r="H42" s="6"/>
      <c r="I42" s="21"/>
      <c r="J42" s="59"/>
      <c r="K42" s="19"/>
      <c r="L42" s="22"/>
      <c r="M42" s="22"/>
    </row>
    <row r="43" spans="1:13" x14ac:dyDescent="0.2">
      <c r="A43" s="35"/>
      <c r="B43" s="6"/>
      <c r="C43" s="19"/>
      <c r="D43" s="14"/>
      <c r="E43" s="32"/>
      <c r="F43" s="32"/>
      <c r="G43" s="31"/>
      <c r="H43" s="6"/>
      <c r="I43" s="21"/>
      <c r="J43" s="59"/>
      <c r="K43" s="19"/>
      <c r="L43" s="22"/>
      <c r="M43" s="22"/>
    </row>
    <row r="44" spans="1:13" x14ac:dyDescent="0.2">
      <c r="A44" s="35"/>
      <c r="B44" s="6"/>
      <c r="C44" s="19"/>
      <c r="D44" s="14"/>
      <c r="E44" s="32"/>
      <c r="F44" s="32"/>
      <c r="G44" s="31"/>
      <c r="H44" s="6"/>
      <c r="I44" s="21"/>
      <c r="J44" s="59"/>
      <c r="K44" s="19"/>
      <c r="L44" s="22"/>
      <c r="M44" s="22"/>
    </row>
    <row r="45" spans="1:13" x14ac:dyDescent="0.2">
      <c r="A45" s="35"/>
      <c r="B45" s="6"/>
      <c r="C45" s="19"/>
      <c r="D45" s="14"/>
      <c r="E45" s="32"/>
      <c r="F45" s="32"/>
      <c r="G45" s="31"/>
      <c r="H45" s="6"/>
      <c r="I45" s="21"/>
      <c r="J45" s="59"/>
      <c r="K45" s="19"/>
      <c r="L45" s="22"/>
      <c r="M45" s="22"/>
    </row>
    <row r="46" spans="1:13" x14ac:dyDescent="0.2">
      <c r="A46" s="35"/>
      <c r="B46" s="6"/>
      <c r="C46" s="19"/>
      <c r="D46" s="14"/>
      <c r="E46" s="32"/>
      <c r="F46" s="32"/>
      <c r="G46" s="31"/>
      <c r="H46" s="6"/>
      <c r="I46" s="21"/>
      <c r="J46" s="59"/>
      <c r="K46" s="19"/>
      <c r="L46" s="22"/>
      <c r="M46" s="22"/>
    </row>
    <row r="47" spans="1:13" x14ac:dyDescent="0.2">
      <c r="A47" s="35"/>
      <c r="B47" s="6"/>
      <c r="C47" s="19"/>
      <c r="D47" s="14"/>
      <c r="E47" s="32"/>
      <c r="F47" s="32"/>
      <c r="G47" s="31"/>
      <c r="H47" s="6"/>
      <c r="I47" s="21"/>
      <c r="J47" s="59"/>
      <c r="K47" s="19"/>
      <c r="L47" s="22"/>
      <c r="M47" s="22"/>
    </row>
    <row r="48" spans="1:13" x14ac:dyDescent="0.2">
      <c r="A48" s="35"/>
      <c r="B48" s="6"/>
      <c r="C48" s="19"/>
      <c r="D48" s="14"/>
      <c r="E48" s="32"/>
      <c r="F48" s="32"/>
      <c r="G48" s="31"/>
      <c r="H48" s="6"/>
      <c r="I48" s="21"/>
      <c r="J48" s="59"/>
      <c r="K48" s="19"/>
      <c r="L48" s="22"/>
      <c r="M48" s="22"/>
    </row>
    <row r="49" spans="1:13" x14ac:dyDescent="0.2">
      <c r="A49" s="35"/>
      <c r="B49" s="6"/>
      <c r="C49" s="19"/>
      <c r="D49" s="14"/>
      <c r="E49" s="32"/>
      <c r="F49" s="32"/>
      <c r="G49" s="31"/>
      <c r="H49" s="6"/>
      <c r="I49" s="21"/>
      <c r="J49" s="59"/>
      <c r="K49" s="19"/>
      <c r="L49" s="22"/>
      <c r="M49" s="22"/>
    </row>
    <row r="50" spans="1:13" x14ac:dyDescent="0.2">
      <c r="A50" s="35"/>
      <c r="B50" s="6"/>
      <c r="C50" s="19"/>
      <c r="D50" s="14"/>
      <c r="E50" s="32"/>
      <c r="F50" s="32"/>
      <c r="G50" s="31"/>
      <c r="H50" s="6"/>
      <c r="I50" s="21"/>
      <c r="J50" s="59"/>
      <c r="K50" s="19"/>
      <c r="L50" s="22"/>
      <c r="M50" s="22"/>
    </row>
    <row r="51" spans="1:13" x14ac:dyDescent="0.2">
      <c r="A51" s="35"/>
      <c r="B51" s="6"/>
      <c r="C51" s="19"/>
      <c r="D51" s="14"/>
      <c r="E51" s="32"/>
      <c r="F51" s="32"/>
      <c r="G51" s="31"/>
      <c r="H51" s="6"/>
      <c r="I51" s="21"/>
      <c r="J51" s="59"/>
      <c r="K51" s="19"/>
      <c r="L51" s="22"/>
      <c r="M51" s="22"/>
    </row>
    <row r="52" spans="1:13" x14ac:dyDescent="0.2">
      <c r="A52" s="35"/>
      <c r="B52" s="6"/>
      <c r="C52" s="19"/>
      <c r="D52" s="14"/>
      <c r="E52" s="32"/>
      <c r="F52" s="32"/>
      <c r="G52" s="31"/>
      <c r="H52" s="6"/>
      <c r="I52" s="21"/>
      <c r="J52" s="59"/>
      <c r="K52" s="19"/>
      <c r="L52" s="22"/>
      <c r="M52" s="22"/>
    </row>
    <row r="53" spans="1:13" x14ac:dyDescent="0.2">
      <c r="A53" s="35"/>
      <c r="B53" s="6"/>
      <c r="C53" s="19"/>
      <c r="D53" s="14"/>
      <c r="E53" s="32"/>
      <c r="F53" s="32"/>
      <c r="G53" s="31"/>
      <c r="H53" s="6"/>
      <c r="I53" s="21"/>
      <c r="J53" s="59"/>
      <c r="K53" s="19"/>
      <c r="L53" s="22"/>
      <c r="M53" s="22"/>
    </row>
    <row r="54" spans="1:13" x14ac:dyDescent="0.2">
      <c r="A54" s="35"/>
      <c r="B54" s="6"/>
      <c r="C54" s="19"/>
      <c r="D54" s="14"/>
      <c r="E54" s="32"/>
      <c r="F54" s="32"/>
      <c r="G54" s="31"/>
      <c r="H54" s="6"/>
      <c r="I54" s="21"/>
      <c r="J54" s="59"/>
      <c r="K54" s="19"/>
      <c r="L54" s="22"/>
      <c r="M54" s="22"/>
    </row>
    <row r="55" spans="1:13" x14ac:dyDescent="0.2">
      <c r="A55" s="35"/>
      <c r="B55" s="6"/>
      <c r="C55" s="19"/>
      <c r="D55" s="14"/>
      <c r="E55" s="32"/>
      <c r="F55" s="32"/>
      <c r="G55" s="31"/>
      <c r="H55" s="6"/>
      <c r="I55" s="21"/>
      <c r="J55" s="59"/>
      <c r="K55" s="19"/>
      <c r="L55" s="22"/>
      <c r="M55" s="22"/>
    </row>
    <row r="56" spans="1:13" x14ac:dyDescent="0.2">
      <c r="A56" s="35"/>
      <c r="B56" s="6"/>
      <c r="C56" s="19"/>
      <c r="D56" s="14"/>
      <c r="E56" s="32"/>
      <c r="F56" s="32"/>
      <c r="G56" s="31"/>
      <c r="H56" s="6"/>
      <c r="I56" s="21"/>
      <c r="J56" s="59"/>
      <c r="K56" s="19"/>
      <c r="L56" s="22"/>
      <c r="M56" s="22"/>
    </row>
    <row r="57" spans="1:13" x14ac:dyDescent="0.2">
      <c r="A57" s="35"/>
      <c r="B57" s="6"/>
      <c r="C57" s="19"/>
      <c r="D57" s="14"/>
      <c r="E57" s="32"/>
      <c r="F57" s="32"/>
      <c r="G57" s="31"/>
      <c r="H57" s="6"/>
      <c r="I57" s="21"/>
      <c r="J57" s="59"/>
      <c r="K57" s="19"/>
      <c r="L57" s="22"/>
      <c r="M57" s="22"/>
    </row>
    <row r="58" spans="1:13" x14ac:dyDescent="0.2">
      <c r="A58" s="35"/>
      <c r="B58" s="6"/>
      <c r="C58" s="19"/>
      <c r="D58" s="14"/>
      <c r="E58" s="32"/>
      <c r="F58" s="32"/>
      <c r="G58" s="31"/>
      <c r="H58" s="6"/>
      <c r="I58" s="21"/>
      <c r="J58" s="59"/>
      <c r="K58" s="19"/>
      <c r="L58" s="22"/>
      <c r="M58" s="22"/>
    </row>
    <row r="59" spans="1:13" x14ac:dyDescent="0.2">
      <c r="A59" s="35"/>
      <c r="B59" s="6"/>
      <c r="C59" s="19"/>
      <c r="D59" s="14"/>
      <c r="E59" s="32"/>
      <c r="F59" s="32"/>
      <c r="G59" s="31"/>
      <c r="H59" s="6"/>
      <c r="I59" s="21"/>
      <c r="J59" s="59"/>
      <c r="K59" s="19"/>
      <c r="L59" s="22"/>
      <c r="M59" s="22"/>
    </row>
    <row r="60" spans="1:13" x14ac:dyDescent="0.2">
      <c r="A60" s="35"/>
      <c r="B60" s="6"/>
      <c r="C60" s="19"/>
      <c r="D60" s="14"/>
      <c r="E60" s="32"/>
      <c r="F60" s="32"/>
      <c r="G60" s="31"/>
      <c r="H60" s="6"/>
      <c r="I60" s="21"/>
      <c r="J60" s="59"/>
      <c r="K60" s="19"/>
      <c r="L60" s="22"/>
      <c r="M60" s="22"/>
    </row>
    <row r="61" spans="1:13" x14ac:dyDescent="0.2">
      <c r="A61" s="35"/>
      <c r="B61" s="6"/>
      <c r="C61" s="19"/>
      <c r="D61" s="14"/>
      <c r="E61" s="32"/>
      <c r="F61" s="32"/>
      <c r="G61" s="31"/>
      <c r="H61" s="6"/>
      <c r="I61" s="21"/>
      <c r="J61" s="59"/>
      <c r="K61" s="19"/>
      <c r="L61" s="22"/>
      <c r="M61" s="22"/>
    </row>
    <row r="62" spans="1:13" x14ac:dyDescent="0.2">
      <c r="A62" s="35"/>
      <c r="B62" s="6"/>
      <c r="C62" s="19"/>
      <c r="D62" s="14"/>
      <c r="E62" s="32"/>
      <c r="F62" s="32"/>
      <c r="G62" s="31"/>
      <c r="H62" s="6"/>
      <c r="I62" s="21"/>
      <c r="J62" s="59"/>
      <c r="K62" s="19"/>
      <c r="L62" s="22"/>
      <c r="M62" s="22"/>
    </row>
    <row r="63" spans="1:13" x14ac:dyDescent="0.2">
      <c r="A63" s="35"/>
      <c r="B63" s="6"/>
      <c r="C63" s="19"/>
      <c r="D63" s="14"/>
      <c r="E63" s="32"/>
      <c r="F63" s="32"/>
      <c r="G63" s="31"/>
      <c r="H63" s="6"/>
      <c r="I63" s="21"/>
      <c r="J63" s="59"/>
      <c r="K63" s="19"/>
      <c r="L63" s="22"/>
      <c r="M63" s="22"/>
    </row>
    <row r="64" spans="1:13" x14ac:dyDescent="0.2">
      <c r="A64" s="35"/>
      <c r="B64" s="6"/>
      <c r="C64" s="19"/>
      <c r="D64" s="14"/>
      <c r="E64" s="32"/>
      <c r="F64" s="32"/>
      <c r="G64" s="31"/>
      <c r="H64" s="6"/>
      <c r="I64" s="21"/>
      <c r="J64" s="59"/>
      <c r="K64" s="19"/>
      <c r="L64" s="22"/>
      <c r="M64" s="22"/>
    </row>
    <row r="65" spans="1:13" x14ac:dyDescent="0.2">
      <c r="A65" s="35"/>
      <c r="B65" s="6"/>
      <c r="C65" s="19"/>
      <c r="D65" s="14"/>
      <c r="E65" s="32"/>
      <c r="F65" s="32"/>
      <c r="G65" s="31"/>
      <c r="H65" s="6"/>
      <c r="I65" s="21"/>
      <c r="J65" s="59"/>
      <c r="K65" s="19"/>
      <c r="L65" s="22"/>
      <c r="M65" s="22"/>
    </row>
    <row r="66" spans="1:13" x14ac:dyDescent="0.2">
      <c r="A66" s="35"/>
      <c r="B66" s="6"/>
      <c r="C66" s="19"/>
      <c r="D66" s="14"/>
      <c r="E66" s="32"/>
      <c r="F66" s="32"/>
      <c r="G66" s="31"/>
      <c r="H66" s="6"/>
      <c r="I66" s="21"/>
      <c r="J66" s="59"/>
      <c r="K66" s="19"/>
      <c r="L66" s="22"/>
      <c r="M66" s="22"/>
    </row>
    <row r="67" spans="1:13" x14ac:dyDescent="0.2">
      <c r="A67" s="35"/>
      <c r="B67" s="6"/>
      <c r="C67" s="19"/>
      <c r="D67" s="14"/>
      <c r="E67" s="32"/>
      <c r="F67" s="32"/>
      <c r="G67" s="31"/>
      <c r="H67" s="6"/>
      <c r="I67" s="21"/>
      <c r="J67" s="59"/>
      <c r="K67" s="19"/>
      <c r="L67" s="22"/>
      <c r="M67" s="22"/>
    </row>
    <row r="68" spans="1:13" x14ac:dyDescent="0.2">
      <c r="A68" s="35"/>
      <c r="B68" s="6"/>
      <c r="C68" s="19"/>
      <c r="D68" s="14"/>
      <c r="E68" s="32"/>
      <c r="F68" s="32"/>
      <c r="G68" s="31"/>
      <c r="H68" s="6"/>
      <c r="I68" s="21"/>
      <c r="J68" s="59"/>
      <c r="K68" s="19"/>
      <c r="L68" s="22"/>
      <c r="M68" s="22"/>
    </row>
    <row r="69" spans="1:13" x14ac:dyDescent="0.2">
      <c r="A69" s="35"/>
      <c r="B69" s="6"/>
      <c r="C69" s="19"/>
      <c r="D69" s="14"/>
      <c r="E69" s="32"/>
      <c r="F69" s="32"/>
      <c r="G69" s="31"/>
      <c r="H69" s="6"/>
      <c r="I69" s="21"/>
      <c r="J69" s="59"/>
      <c r="K69" s="19"/>
      <c r="L69" s="22"/>
      <c r="M69" s="22"/>
    </row>
    <row r="70" spans="1:13" x14ac:dyDescent="0.2">
      <c r="A70" s="35"/>
      <c r="B70" s="6"/>
      <c r="C70" s="19"/>
      <c r="D70" s="14"/>
      <c r="E70" s="32"/>
      <c r="F70" s="32"/>
      <c r="G70" s="31"/>
      <c r="H70" s="6"/>
      <c r="I70" s="21"/>
      <c r="J70" s="59"/>
      <c r="K70" s="19"/>
      <c r="L70" s="22"/>
      <c r="M70" s="22"/>
    </row>
    <row r="71" spans="1:13" x14ac:dyDescent="0.2">
      <c r="A71" s="35"/>
      <c r="B71" s="6"/>
      <c r="C71" s="19"/>
      <c r="D71" s="14"/>
      <c r="E71" s="32"/>
      <c r="F71" s="32"/>
      <c r="G71" s="31"/>
      <c r="H71" s="6"/>
      <c r="I71" s="21"/>
      <c r="J71" s="59"/>
      <c r="K71" s="19"/>
      <c r="L71" s="22"/>
      <c r="M71" s="22"/>
    </row>
    <row r="72" spans="1:13" x14ac:dyDescent="0.2">
      <c r="A72" s="35"/>
      <c r="B72" s="6"/>
      <c r="C72" s="19"/>
      <c r="D72" s="14"/>
      <c r="E72" s="32"/>
      <c r="F72" s="32"/>
      <c r="G72" s="31"/>
      <c r="H72" s="6"/>
      <c r="I72" s="21"/>
      <c r="J72" s="59"/>
      <c r="K72" s="19"/>
      <c r="L72" s="22"/>
      <c r="M72" s="22"/>
    </row>
    <row r="73" spans="1:13" x14ac:dyDescent="0.2">
      <c r="A73" s="35"/>
      <c r="B73" s="6"/>
      <c r="C73" s="19"/>
      <c r="D73" s="14"/>
      <c r="E73" s="32"/>
      <c r="F73" s="32"/>
      <c r="G73" s="31"/>
      <c r="H73" s="6"/>
      <c r="I73" s="21"/>
      <c r="J73" s="59"/>
      <c r="K73" s="19"/>
      <c r="L73" s="22"/>
      <c r="M73" s="22"/>
    </row>
    <row r="74" spans="1:13" x14ac:dyDescent="0.2">
      <c r="A74" s="35"/>
      <c r="B74" s="6"/>
      <c r="C74" s="19"/>
      <c r="D74" s="14"/>
      <c r="E74" s="32"/>
      <c r="F74" s="32"/>
      <c r="G74" s="31"/>
      <c r="H74" s="6"/>
      <c r="I74" s="21"/>
      <c r="J74" s="59"/>
      <c r="K74" s="19"/>
      <c r="L74" s="22"/>
      <c r="M74" s="22"/>
    </row>
    <row r="75" spans="1:13" x14ac:dyDescent="0.2">
      <c r="A75" s="35"/>
      <c r="B75" s="6"/>
      <c r="C75" s="19"/>
      <c r="D75" s="14"/>
      <c r="E75" s="32"/>
      <c r="F75" s="32"/>
      <c r="G75" s="31"/>
      <c r="H75" s="6"/>
      <c r="I75" s="21"/>
      <c r="J75" s="59"/>
      <c r="K75" s="19"/>
      <c r="L75" s="22"/>
      <c r="M75" s="22"/>
    </row>
    <row r="76" spans="1:13" x14ac:dyDescent="0.2">
      <c r="A76" s="35"/>
      <c r="B76" s="6"/>
      <c r="C76" s="19"/>
      <c r="D76" s="14"/>
      <c r="E76" s="32"/>
      <c r="F76" s="32"/>
      <c r="G76" s="31"/>
      <c r="H76" s="6"/>
      <c r="I76" s="21"/>
      <c r="J76" s="59"/>
      <c r="K76" s="19"/>
      <c r="L76" s="22"/>
      <c r="M76" s="22"/>
    </row>
    <row r="77" spans="1:13" x14ac:dyDescent="0.2">
      <c r="A77" s="35"/>
      <c r="B77" s="6"/>
      <c r="C77" s="19"/>
      <c r="D77" s="14"/>
      <c r="E77" s="32"/>
      <c r="F77" s="32"/>
      <c r="G77" s="31"/>
      <c r="H77" s="6"/>
      <c r="I77" s="21"/>
      <c r="J77" s="59"/>
      <c r="K77" s="19"/>
      <c r="L77" s="22"/>
      <c r="M77" s="22"/>
    </row>
    <row r="78" spans="1:13" x14ac:dyDescent="0.2">
      <c r="A78" s="35"/>
      <c r="B78" s="6"/>
      <c r="C78" s="19"/>
      <c r="D78" s="14"/>
      <c r="E78" s="32"/>
      <c r="F78" s="32"/>
      <c r="G78" s="31"/>
      <c r="H78" s="6"/>
      <c r="I78" s="21"/>
      <c r="J78" s="59"/>
      <c r="K78" s="19"/>
      <c r="L78" s="22"/>
      <c r="M78" s="22"/>
    </row>
    <row r="79" spans="1:13" x14ac:dyDescent="0.2">
      <c r="A79" s="35"/>
      <c r="B79" s="6"/>
      <c r="C79" s="19"/>
      <c r="D79" s="14"/>
      <c r="E79" s="32"/>
      <c r="F79" s="32"/>
      <c r="G79" s="31"/>
      <c r="H79" s="6"/>
      <c r="I79" s="21"/>
      <c r="J79" s="59"/>
      <c r="K79" s="19"/>
      <c r="L79" s="22"/>
      <c r="M79" s="22"/>
    </row>
    <row r="80" spans="1:13" x14ac:dyDescent="0.2">
      <c r="A80" s="35"/>
      <c r="B80" s="6"/>
      <c r="C80" s="19"/>
      <c r="D80" s="14"/>
      <c r="E80" s="32"/>
      <c r="F80" s="32"/>
      <c r="G80" s="31"/>
      <c r="H80" s="6"/>
      <c r="I80" s="21"/>
      <c r="J80" s="59"/>
      <c r="K80" s="19"/>
      <c r="L80" s="22"/>
      <c r="M80" s="22"/>
    </row>
    <row r="81" spans="1:13" x14ac:dyDescent="0.2">
      <c r="A81" s="35"/>
      <c r="B81" s="6"/>
      <c r="C81" s="19"/>
      <c r="D81" s="14"/>
      <c r="E81" s="32"/>
      <c r="F81" s="32"/>
      <c r="G81" s="31"/>
      <c r="H81" s="6"/>
      <c r="I81" s="21"/>
      <c r="J81" s="59"/>
      <c r="K81" s="19"/>
      <c r="L81" s="22"/>
      <c r="M81" s="22"/>
    </row>
    <row r="82" spans="1:13" x14ac:dyDescent="0.2">
      <c r="A82" s="35"/>
      <c r="B82" s="6"/>
      <c r="C82" s="19"/>
      <c r="D82" s="14"/>
      <c r="E82" s="32"/>
      <c r="F82" s="32"/>
      <c r="G82" s="31"/>
      <c r="H82" s="6"/>
      <c r="I82" s="21"/>
      <c r="J82" s="59"/>
      <c r="K82" s="19"/>
      <c r="L82" s="22"/>
      <c r="M82" s="22"/>
    </row>
    <row r="83" spans="1:13" x14ac:dyDescent="0.2">
      <c r="A83" s="35"/>
      <c r="B83" s="6"/>
      <c r="C83" s="19"/>
      <c r="D83" s="14"/>
      <c r="E83" s="32"/>
      <c r="F83" s="32"/>
      <c r="G83" s="31"/>
      <c r="H83" s="6"/>
      <c r="I83" s="21"/>
      <c r="J83" s="59"/>
      <c r="K83" s="19"/>
      <c r="L83" s="22"/>
      <c r="M83" s="22"/>
    </row>
    <row r="84" spans="1:13" x14ac:dyDescent="0.2">
      <c r="A84" s="35"/>
      <c r="B84" s="6"/>
      <c r="C84" s="19"/>
      <c r="D84" s="14"/>
      <c r="E84" s="32"/>
      <c r="F84" s="32"/>
      <c r="G84" s="31"/>
      <c r="H84" s="6"/>
      <c r="I84" s="21"/>
      <c r="J84" s="59"/>
      <c r="K84" s="19"/>
      <c r="L84" s="22"/>
      <c r="M84" s="22"/>
    </row>
    <row r="85" spans="1:13" x14ac:dyDescent="0.2">
      <c r="A85" s="35"/>
      <c r="B85" s="6"/>
      <c r="C85" s="19"/>
      <c r="D85" s="14"/>
      <c r="E85" s="32"/>
      <c r="F85" s="32"/>
      <c r="G85" s="31"/>
      <c r="H85" s="6"/>
      <c r="I85" s="21"/>
      <c r="J85" s="59"/>
      <c r="K85" s="19"/>
      <c r="L85" s="22"/>
      <c r="M85" s="22"/>
    </row>
    <row r="86" spans="1:13" x14ac:dyDescent="0.2">
      <c r="A86" s="35"/>
      <c r="B86" s="6"/>
      <c r="C86" s="19"/>
      <c r="D86" s="14"/>
      <c r="E86" s="32"/>
      <c r="F86" s="32"/>
      <c r="G86" s="31"/>
      <c r="H86" s="6"/>
      <c r="I86" s="21"/>
      <c r="J86" s="59"/>
      <c r="K86" s="19"/>
      <c r="L86" s="22"/>
      <c r="M86" s="22"/>
    </row>
    <row r="87" spans="1:13" x14ac:dyDescent="0.2">
      <c r="A87" s="35"/>
      <c r="B87" s="6"/>
      <c r="C87" s="19"/>
      <c r="D87" s="14"/>
      <c r="E87" s="32"/>
      <c r="F87" s="32"/>
      <c r="G87" s="31"/>
      <c r="H87" s="6"/>
      <c r="I87" s="21"/>
      <c r="J87" s="59"/>
      <c r="K87" s="19"/>
      <c r="L87" s="22"/>
      <c r="M87" s="22"/>
    </row>
    <row r="88" spans="1:13" x14ac:dyDescent="0.2">
      <c r="A88" s="35"/>
      <c r="B88" s="6"/>
      <c r="C88" s="19"/>
      <c r="D88" s="14"/>
      <c r="E88" s="32"/>
      <c r="F88" s="32"/>
      <c r="G88" s="31"/>
      <c r="H88" s="6"/>
      <c r="I88" s="21"/>
      <c r="J88" s="59"/>
      <c r="K88" s="19"/>
      <c r="L88" s="22"/>
      <c r="M88" s="22"/>
    </row>
    <row r="89" spans="1:13" x14ac:dyDescent="0.2">
      <c r="A89" s="35"/>
      <c r="B89" s="6"/>
      <c r="C89" s="19"/>
      <c r="D89" s="14"/>
      <c r="E89" s="32"/>
      <c r="F89" s="32"/>
      <c r="G89" s="31"/>
      <c r="H89" s="6"/>
      <c r="I89" s="21"/>
      <c r="J89" s="59"/>
      <c r="K89" s="19"/>
      <c r="L89" s="22"/>
      <c r="M89" s="22"/>
    </row>
    <row r="90" spans="1:13" x14ac:dyDescent="0.2">
      <c r="A90" s="35"/>
      <c r="B90" s="6"/>
      <c r="C90" s="19"/>
      <c r="D90" s="14"/>
      <c r="E90" s="32"/>
      <c r="F90" s="32"/>
      <c r="G90" s="31"/>
      <c r="H90" s="6"/>
      <c r="I90" s="21"/>
      <c r="J90" s="59"/>
      <c r="K90" s="19"/>
      <c r="L90" s="22"/>
      <c r="M90" s="22"/>
    </row>
    <row r="91" spans="1:13" x14ac:dyDescent="0.2">
      <c r="A91" s="35"/>
      <c r="B91" s="6"/>
      <c r="C91" s="19"/>
      <c r="D91" s="14"/>
      <c r="E91" s="32"/>
      <c r="F91" s="32"/>
      <c r="G91" s="31"/>
      <c r="H91" s="6"/>
      <c r="I91" s="21"/>
      <c r="J91" s="59"/>
      <c r="K91" s="19"/>
      <c r="L91" s="22"/>
      <c r="M91" s="22"/>
    </row>
    <row r="92" spans="1:13" x14ac:dyDescent="0.2">
      <c r="A92" s="35"/>
      <c r="B92" s="6"/>
      <c r="C92" s="19"/>
      <c r="D92" s="14"/>
      <c r="E92" s="32"/>
      <c r="F92" s="32"/>
      <c r="G92" s="31"/>
      <c r="H92" s="6"/>
      <c r="I92" s="21"/>
      <c r="J92" s="59"/>
      <c r="K92" s="19"/>
      <c r="L92" s="22"/>
      <c r="M92" s="22"/>
    </row>
    <row r="93" spans="1:13" x14ac:dyDescent="0.2">
      <c r="A93" s="35"/>
      <c r="B93" s="6"/>
      <c r="C93" s="19"/>
      <c r="D93" s="14"/>
      <c r="E93" s="32"/>
      <c r="F93" s="32"/>
      <c r="G93" s="31"/>
      <c r="H93" s="6"/>
      <c r="I93" s="21"/>
      <c r="J93" s="59"/>
      <c r="K93" s="19"/>
      <c r="L93" s="22"/>
      <c r="M93" s="22"/>
    </row>
    <row r="94" spans="1:13" x14ac:dyDescent="0.2">
      <c r="A94" s="35"/>
      <c r="B94" s="6"/>
      <c r="C94" s="19"/>
      <c r="D94" s="14"/>
      <c r="E94" s="32"/>
      <c r="F94" s="32"/>
      <c r="G94" s="31"/>
      <c r="H94" s="6"/>
      <c r="I94" s="21"/>
      <c r="J94" s="59"/>
      <c r="K94" s="19"/>
      <c r="L94" s="22"/>
      <c r="M94" s="22"/>
    </row>
    <row r="95" spans="1:13" x14ac:dyDescent="0.2">
      <c r="A95" s="35"/>
      <c r="B95" s="6"/>
      <c r="C95" s="19"/>
      <c r="D95" s="14"/>
      <c r="E95" s="32"/>
      <c r="F95" s="32"/>
      <c r="G95" s="31"/>
      <c r="H95" s="6"/>
      <c r="I95" s="21"/>
      <c r="J95" s="59"/>
      <c r="K95" s="19"/>
      <c r="L95" s="22"/>
      <c r="M95" s="22"/>
    </row>
    <row r="96" spans="1:13" x14ac:dyDescent="0.2">
      <c r="A96" s="35"/>
      <c r="B96" s="6"/>
      <c r="C96" s="19"/>
      <c r="D96" s="14"/>
      <c r="E96" s="32"/>
      <c r="F96" s="32"/>
      <c r="G96" s="31"/>
      <c r="H96" s="6"/>
      <c r="I96" s="21"/>
      <c r="J96" s="59"/>
      <c r="K96" s="19"/>
      <c r="L96" s="22"/>
      <c r="M96" s="22"/>
    </row>
    <row r="97" spans="1:13" x14ac:dyDescent="0.2">
      <c r="A97" s="35"/>
      <c r="B97" s="6"/>
      <c r="C97" s="19"/>
      <c r="D97" s="14"/>
      <c r="E97" s="32"/>
      <c r="F97" s="32"/>
      <c r="G97" s="31"/>
      <c r="H97" s="6"/>
      <c r="I97" s="21"/>
      <c r="J97" s="59"/>
      <c r="K97" s="19"/>
      <c r="L97" s="22"/>
      <c r="M97" s="22"/>
    </row>
    <row r="98" spans="1:13" x14ac:dyDescent="0.2">
      <c r="A98" s="35"/>
      <c r="B98" s="6"/>
      <c r="C98" s="19"/>
      <c r="D98" s="14"/>
      <c r="E98" s="32"/>
      <c r="F98" s="32"/>
      <c r="G98" s="31"/>
      <c r="H98" s="6"/>
      <c r="I98" s="21"/>
      <c r="J98" s="59"/>
      <c r="K98" s="19"/>
      <c r="L98" s="22"/>
      <c r="M98" s="22"/>
    </row>
    <row r="99" spans="1:13" x14ac:dyDescent="0.2">
      <c r="A99" s="35"/>
      <c r="B99" s="6"/>
      <c r="C99" s="19"/>
      <c r="D99" s="14"/>
      <c r="E99" s="32"/>
      <c r="F99" s="32"/>
      <c r="G99" s="31"/>
      <c r="H99" s="6"/>
      <c r="I99" s="21"/>
      <c r="J99" s="59"/>
      <c r="K99" s="19"/>
      <c r="L99" s="22"/>
      <c r="M99" s="22"/>
    </row>
    <row r="100" spans="1:13" x14ac:dyDescent="0.2">
      <c r="A100" s="35"/>
      <c r="B100" s="6"/>
      <c r="C100" s="19"/>
      <c r="D100" s="14"/>
      <c r="E100" s="32"/>
      <c r="F100" s="32"/>
      <c r="G100" s="31"/>
      <c r="H100" s="6"/>
      <c r="I100" s="21"/>
      <c r="J100" s="59"/>
      <c r="K100" s="19"/>
      <c r="L100" s="22"/>
      <c r="M100" s="22"/>
    </row>
    <row r="101" spans="1:13" x14ac:dyDescent="0.2">
      <c r="A101" s="35"/>
      <c r="B101" s="6"/>
      <c r="C101" s="19"/>
      <c r="D101" s="14"/>
      <c r="E101" s="32"/>
      <c r="F101" s="32"/>
      <c r="G101" s="31"/>
      <c r="H101" s="6"/>
      <c r="I101" s="21"/>
      <c r="J101" s="59"/>
      <c r="K101" s="19"/>
      <c r="L101" s="22"/>
      <c r="M101" s="22"/>
    </row>
    <row r="102" spans="1:13" x14ac:dyDescent="0.2">
      <c r="A102" s="35"/>
      <c r="B102" s="6"/>
      <c r="C102" s="19"/>
      <c r="D102" s="14"/>
      <c r="E102" s="32"/>
      <c r="F102" s="32"/>
      <c r="G102" s="31"/>
      <c r="H102" s="6"/>
      <c r="I102" s="21"/>
      <c r="J102" s="59"/>
      <c r="K102" s="19"/>
      <c r="L102" s="22"/>
      <c r="M102" s="22"/>
    </row>
    <row r="103" spans="1:13" x14ac:dyDescent="0.2">
      <c r="A103" s="35"/>
      <c r="B103" s="6"/>
      <c r="C103" s="19"/>
      <c r="D103" s="14"/>
      <c r="E103" s="32"/>
      <c r="F103" s="32"/>
      <c r="G103" s="31"/>
      <c r="H103" s="6"/>
      <c r="I103" s="21"/>
      <c r="J103" s="59"/>
      <c r="K103" s="19"/>
      <c r="L103" s="22"/>
      <c r="M103" s="22"/>
    </row>
    <row r="104" spans="1:13" x14ac:dyDescent="0.2">
      <c r="A104" s="35"/>
      <c r="B104" s="6"/>
      <c r="C104" s="19"/>
      <c r="D104" s="14"/>
      <c r="E104" s="32"/>
      <c r="F104" s="32"/>
      <c r="G104" s="31"/>
      <c r="H104" s="6"/>
      <c r="I104" s="21"/>
      <c r="J104" s="59"/>
      <c r="K104" s="19"/>
      <c r="L104" s="22"/>
      <c r="M104" s="22"/>
    </row>
    <row r="105" spans="1:13" x14ac:dyDescent="0.2">
      <c r="A105" s="35"/>
      <c r="B105" s="6"/>
      <c r="C105" s="19"/>
      <c r="D105" s="14"/>
      <c r="E105" s="32"/>
      <c r="F105" s="32"/>
      <c r="G105" s="31"/>
      <c r="H105" s="6"/>
      <c r="I105" s="21"/>
      <c r="J105" s="59"/>
      <c r="K105" s="19"/>
      <c r="L105" s="22"/>
      <c r="M105" s="22"/>
    </row>
    <row r="106" spans="1:13" x14ac:dyDescent="0.2">
      <c r="A106" s="35"/>
      <c r="B106" s="6"/>
      <c r="C106" s="19"/>
      <c r="D106" s="14"/>
      <c r="E106" s="32"/>
      <c r="F106" s="32"/>
      <c r="G106" s="31"/>
      <c r="H106" s="6"/>
      <c r="I106" s="21"/>
      <c r="J106" s="59"/>
      <c r="K106" s="19"/>
      <c r="L106" s="22"/>
      <c r="M106" s="22"/>
    </row>
    <row r="107" spans="1:13" x14ac:dyDescent="0.2">
      <c r="A107" s="35"/>
      <c r="B107" s="6"/>
      <c r="C107" s="19"/>
      <c r="D107" s="14"/>
      <c r="E107" s="32"/>
      <c r="F107" s="32"/>
      <c r="G107" s="31"/>
      <c r="H107" s="6"/>
      <c r="I107" s="21"/>
      <c r="J107" s="59"/>
      <c r="K107" s="19"/>
      <c r="L107" s="22"/>
      <c r="M107" s="22"/>
    </row>
    <row r="108" spans="1:13" x14ac:dyDescent="0.2">
      <c r="A108" s="35"/>
      <c r="B108" s="6"/>
      <c r="C108" s="19"/>
      <c r="D108" s="14"/>
      <c r="E108" s="32"/>
      <c r="F108" s="32"/>
      <c r="G108" s="31"/>
      <c r="H108" s="6"/>
      <c r="I108" s="21"/>
      <c r="J108" s="59"/>
      <c r="K108" s="19"/>
      <c r="L108" s="22"/>
      <c r="M108" s="22"/>
    </row>
    <row r="109" spans="1:13" x14ac:dyDescent="0.2">
      <c r="A109" s="35"/>
      <c r="B109" s="6"/>
      <c r="C109" s="19"/>
      <c r="D109" s="14"/>
      <c r="E109" s="32"/>
      <c r="F109" s="32"/>
      <c r="G109" s="31"/>
      <c r="H109" s="6"/>
      <c r="I109" s="21"/>
      <c r="J109" s="59"/>
      <c r="K109" s="19"/>
      <c r="L109" s="22"/>
      <c r="M109" s="22"/>
    </row>
    <row r="110" spans="1:13" x14ac:dyDescent="0.2">
      <c r="A110" s="35"/>
      <c r="B110" s="6"/>
      <c r="C110" s="19"/>
      <c r="D110" s="14"/>
      <c r="E110" s="32"/>
      <c r="F110" s="32"/>
      <c r="G110" s="31"/>
      <c r="H110" s="6"/>
      <c r="I110" s="21"/>
      <c r="J110" s="59"/>
      <c r="K110" s="19"/>
      <c r="L110" s="22"/>
      <c r="M110" s="22"/>
    </row>
    <row r="111" spans="1:13" x14ac:dyDescent="0.2">
      <c r="A111" s="35"/>
      <c r="B111" s="6"/>
      <c r="C111" s="19"/>
      <c r="D111" s="14"/>
      <c r="E111" s="32"/>
      <c r="F111" s="32"/>
      <c r="G111" s="31"/>
      <c r="H111" s="6"/>
      <c r="I111" s="21"/>
      <c r="J111" s="59"/>
      <c r="K111" s="19"/>
      <c r="L111" s="22"/>
      <c r="M111" s="22"/>
    </row>
    <row r="112" spans="1:13" x14ac:dyDescent="0.2">
      <c r="A112" s="35"/>
      <c r="B112" s="6"/>
      <c r="C112" s="19"/>
      <c r="D112" s="14"/>
      <c r="E112" s="32"/>
      <c r="F112" s="32"/>
      <c r="G112" s="31"/>
      <c r="H112" s="6"/>
      <c r="I112" s="21"/>
      <c r="J112" s="59"/>
      <c r="K112" s="19"/>
      <c r="L112" s="22"/>
      <c r="M112" s="22"/>
    </row>
    <row r="113" spans="1:13" x14ac:dyDescent="0.2">
      <c r="A113" s="35"/>
      <c r="B113" s="6"/>
      <c r="C113" s="19"/>
      <c r="D113" s="14"/>
      <c r="E113" s="32"/>
      <c r="F113" s="32"/>
      <c r="G113" s="31"/>
      <c r="H113" s="6"/>
      <c r="I113" s="21"/>
      <c r="J113" s="59"/>
      <c r="K113" s="19"/>
      <c r="L113" s="22"/>
      <c r="M113" s="22"/>
    </row>
    <row r="114" spans="1:13" x14ac:dyDescent="0.2">
      <c r="A114" s="35"/>
      <c r="B114" s="6"/>
      <c r="C114" s="19"/>
      <c r="D114" s="14"/>
      <c r="E114" s="32"/>
      <c r="F114" s="32"/>
      <c r="G114" s="31"/>
      <c r="H114" s="6"/>
      <c r="I114" s="21"/>
      <c r="J114" s="59"/>
      <c r="K114" s="19"/>
      <c r="L114" s="22"/>
      <c r="M114" s="22"/>
    </row>
    <row r="115" spans="1:13" x14ac:dyDescent="0.2">
      <c r="A115" s="35"/>
      <c r="B115" s="6"/>
      <c r="C115" s="19"/>
      <c r="D115" s="14"/>
      <c r="E115" s="32"/>
      <c r="F115" s="32"/>
      <c r="G115" s="31"/>
      <c r="H115" s="6"/>
      <c r="I115" s="21"/>
      <c r="J115" s="59"/>
      <c r="K115" s="19"/>
      <c r="L115" s="22"/>
      <c r="M115" s="22"/>
    </row>
    <row r="116" spans="1:13" x14ac:dyDescent="0.2">
      <c r="A116" s="35"/>
      <c r="B116" s="6"/>
      <c r="C116" s="19"/>
      <c r="D116" s="14"/>
      <c r="E116" s="32"/>
      <c r="F116" s="32"/>
      <c r="G116" s="31"/>
      <c r="H116" s="6"/>
      <c r="I116" s="21"/>
      <c r="J116" s="59"/>
      <c r="K116" s="19"/>
      <c r="L116" s="22"/>
      <c r="M116" s="22"/>
    </row>
    <row r="117" spans="1:13" x14ac:dyDescent="0.2">
      <c r="A117" s="35"/>
      <c r="B117" s="6"/>
      <c r="C117" s="19"/>
      <c r="D117" s="14"/>
      <c r="E117" s="32"/>
      <c r="F117" s="32"/>
      <c r="G117" s="31"/>
      <c r="H117" s="6"/>
      <c r="I117" s="21"/>
      <c r="J117" s="59"/>
      <c r="K117" s="19"/>
      <c r="L117" s="22"/>
      <c r="M117" s="22"/>
    </row>
    <row r="118" spans="1:13" x14ac:dyDescent="0.2">
      <c r="A118" s="35"/>
      <c r="B118" s="6"/>
      <c r="C118" s="19"/>
      <c r="D118" s="14"/>
      <c r="E118" s="32"/>
      <c r="F118" s="32"/>
      <c r="G118" s="31"/>
      <c r="H118" s="6"/>
      <c r="I118" s="21"/>
      <c r="J118" s="59"/>
      <c r="K118" s="19"/>
      <c r="L118" s="22"/>
      <c r="M118" s="22"/>
    </row>
    <row r="119" spans="1:13" x14ac:dyDescent="0.2">
      <c r="A119" s="35"/>
      <c r="B119" s="6"/>
      <c r="C119" s="19"/>
      <c r="D119" s="14"/>
      <c r="E119" s="32"/>
      <c r="F119" s="32"/>
      <c r="G119" s="31"/>
      <c r="H119" s="6"/>
      <c r="I119" s="21"/>
      <c r="J119" s="59"/>
      <c r="K119" s="19"/>
      <c r="L119" s="22"/>
      <c r="M119" s="22"/>
    </row>
    <row r="120" spans="1:13" x14ac:dyDescent="0.2">
      <c r="A120" s="35"/>
      <c r="B120" s="6"/>
      <c r="C120" s="19"/>
      <c r="D120" s="14"/>
      <c r="E120" s="32"/>
      <c r="F120" s="32"/>
      <c r="G120" s="31"/>
      <c r="H120" s="6"/>
      <c r="I120" s="21"/>
      <c r="J120" s="59"/>
      <c r="K120" s="19"/>
      <c r="L120" s="22"/>
      <c r="M120" s="22"/>
    </row>
    <row r="121" spans="1:13" x14ac:dyDescent="0.2">
      <c r="A121" s="35"/>
      <c r="B121" s="6"/>
      <c r="C121" s="19"/>
      <c r="D121" s="14"/>
      <c r="E121" s="32"/>
      <c r="F121" s="32"/>
      <c r="G121" s="31"/>
      <c r="H121" s="6"/>
      <c r="I121" s="21"/>
      <c r="J121" s="59"/>
      <c r="K121" s="19"/>
      <c r="L121" s="22"/>
      <c r="M121" s="22"/>
    </row>
    <row r="122" spans="1:13" x14ac:dyDescent="0.2">
      <c r="A122" s="35"/>
      <c r="B122" s="6"/>
      <c r="C122" s="19"/>
      <c r="D122" s="14"/>
      <c r="E122" s="32"/>
      <c r="F122" s="32"/>
      <c r="G122" s="31"/>
      <c r="H122" s="6"/>
      <c r="I122" s="21"/>
      <c r="J122" s="59"/>
      <c r="K122" s="19"/>
      <c r="L122" s="22"/>
      <c r="M122" s="22"/>
    </row>
    <row r="123" spans="1:13" x14ac:dyDescent="0.2">
      <c r="A123" s="35"/>
      <c r="B123" s="6"/>
      <c r="C123" s="19"/>
      <c r="D123" s="14"/>
      <c r="E123" s="32"/>
      <c r="F123" s="32"/>
      <c r="G123" s="31"/>
      <c r="H123" s="6"/>
      <c r="I123" s="21"/>
      <c r="J123" s="59"/>
      <c r="K123" s="19"/>
      <c r="L123" s="22"/>
      <c r="M123" s="22"/>
    </row>
    <row r="124" spans="1:13" x14ac:dyDescent="0.2">
      <c r="A124" s="35"/>
      <c r="B124" s="6"/>
      <c r="C124" s="19"/>
      <c r="D124" s="14"/>
      <c r="E124" s="32"/>
      <c r="F124" s="32"/>
      <c r="G124" s="31"/>
      <c r="H124" s="6"/>
      <c r="I124" s="21"/>
      <c r="J124" s="59"/>
      <c r="K124" s="19"/>
      <c r="L124" s="22"/>
      <c r="M124" s="22"/>
    </row>
    <row r="125" spans="1:13" x14ac:dyDescent="0.2">
      <c r="A125" s="35"/>
      <c r="B125" s="6"/>
      <c r="C125" s="19"/>
      <c r="D125" s="14"/>
      <c r="E125" s="32"/>
      <c r="F125" s="32"/>
      <c r="G125" s="31"/>
      <c r="H125" s="6"/>
      <c r="I125" s="21"/>
      <c r="J125" s="59"/>
      <c r="K125" s="19"/>
      <c r="L125" s="22"/>
      <c r="M125" s="22"/>
    </row>
    <row r="126" spans="1:13" x14ac:dyDescent="0.2">
      <c r="A126" s="35"/>
      <c r="B126" s="6"/>
      <c r="C126" s="19"/>
      <c r="D126" s="14"/>
      <c r="E126" s="32"/>
      <c r="F126" s="32"/>
      <c r="G126" s="31"/>
      <c r="H126" s="6"/>
      <c r="I126" s="21"/>
      <c r="J126" s="59"/>
      <c r="K126" s="19"/>
      <c r="L126" s="22"/>
      <c r="M126" s="22"/>
    </row>
    <row r="127" spans="1:13" x14ac:dyDescent="0.2">
      <c r="A127" s="35"/>
      <c r="B127" s="6"/>
      <c r="C127" s="19"/>
      <c r="D127" s="14"/>
      <c r="E127" s="32"/>
      <c r="F127" s="32"/>
      <c r="G127" s="31"/>
      <c r="H127" s="6"/>
      <c r="I127" s="21"/>
      <c r="J127" s="59"/>
      <c r="K127" s="19"/>
      <c r="L127" s="22"/>
      <c r="M127" s="22"/>
    </row>
    <row r="128" spans="1:13" x14ac:dyDescent="0.2">
      <c r="A128" s="35"/>
      <c r="B128" s="6"/>
      <c r="C128" s="19"/>
      <c r="D128" s="14"/>
      <c r="E128" s="32"/>
      <c r="F128" s="32"/>
      <c r="G128" s="31"/>
      <c r="H128" s="6"/>
      <c r="I128" s="21"/>
      <c r="J128" s="59"/>
      <c r="K128" s="19"/>
      <c r="L128" s="22"/>
      <c r="M128" s="22"/>
    </row>
    <row r="129" spans="1:13" x14ac:dyDescent="0.2">
      <c r="A129" s="35"/>
      <c r="B129" s="6"/>
      <c r="C129" s="19"/>
      <c r="D129" s="14"/>
      <c r="E129" s="32"/>
      <c r="F129" s="32"/>
      <c r="G129" s="31"/>
      <c r="H129" s="6"/>
      <c r="I129" s="21"/>
      <c r="J129" s="59"/>
      <c r="K129" s="19"/>
      <c r="L129" s="22"/>
      <c r="M129" s="22"/>
    </row>
    <row r="130" spans="1:13" x14ac:dyDescent="0.2">
      <c r="A130" s="35"/>
      <c r="B130" s="6"/>
      <c r="C130" s="19"/>
      <c r="D130" s="14"/>
      <c r="E130" s="32"/>
      <c r="F130" s="32"/>
      <c r="G130" s="31"/>
      <c r="H130" s="6"/>
      <c r="I130" s="21"/>
      <c r="J130" s="59"/>
      <c r="K130" s="19"/>
      <c r="L130" s="22"/>
      <c r="M130" s="22"/>
    </row>
    <row r="131" spans="1:13" x14ac:dyDescent="0.2">
      <c r="A131" s="35"/>
      <c r="B131" s="6"/>
      <c r="C131" s="19"/>
      <c r="D131" s="14"/>
      <c r="E131" s="32"/>
      <c r="F131" s="32"/>
      <c r="G131" s="31"/>
      <c r="H131" s="6"/>
      <c r="I131" s="21"/>
      <c r="J131" s="59"/>
      <c r="K131" s="19"/>
      <c r="L131" s="22"/>
      <c r="M131" s="22"/>
    </row>
    <row r="132" spans="1:13" x14ac:dyDescent="0.2">
      <c r="A132" s="35"/>
      <c r="B132" s="6"/>
      <c r="C132" s="19"/>
      <c r="D132" s="14"/>
      <c r="E132" s="32"/>
      <c r="F132" s="32"/>
      <c r="G132" s="31"/>
      <c r="H132" s="6"/>
      <c r="I132" s="21"/>
      <c r="J132" s="59"/>
      <c r="K132" s="19"/>
      <c r="L132" s="22"/>
      <c r="M132" s="22"/>
    </row>
    <row r="133" spans="1:13" x14ac:dyDescent="0.2">
      <c r="A133" s="35"/>
      <c r="B133" s="6"/>
      <c r="C133" s="19"/>
      <c r="D133" s="14"/>
      <c r="E133" s="32"/>
      <c r="F133" s="32"/>
      <c r="G133" s="31"/>
      <c r="H133" s="6"/>
      <c r="I133" s="21"/>
      <c r="J133" s="59"/>
      <c r="K133" s="19"/>
      <c r="L133" s="22"/>
      <c r="M133" s="22"/>
    </row>
    <row r="134" spans="1:13" x14ac:dyDescent="0.2">
      <c r="A134" s="35"/>
      <c r="B134" s="6"/>
      <c r="C134" s="19"/>
      <c r="D134" s="14"/>
      <c r="E134" s="32"/>
      <c r="F134" s="32"/>
      <c r="G134" s="31"/>
      <c r="H134" s="6"/>
      <c r="I134" s="21"/>
      <c r="J134" s="59"/>
      <c r="K134" s="19"/>
      <c r="L134" s="22"/>
      <c r="M134" s="22"/>
    </row>
    <row r="135" spans="1:13" x14ac:dyDescent="0.2">
      <c r="A135" s="35"/>
      <c r="B135" s="6"/>
      <c r="C135" s="19"/>
      <c r="D135" s="14"/>
      <c r="E135" s="32"/>
      <c r="F135" s="32"/>
      <c r="G135" s="31"/>
      <c r="H135" s="6"/>
      <c r="I135" s="21"/>
      <c r="J135" s="59"/>
      <c r="K135" s="19"/>
      <c r="L135" s="22"/>
      <c r="M135" s="22"/>
    </row>
    <row r="136" spans="1:13" x14ac:dyDescent="0.2">
      <c r="A136" s="35"/>
      <c r="B136" s="6"/>
      <c r="C136" s="19"/>
      <c r="D136" s="14"/>
      <c r="E136" s="32"/>
      <c r="F136" s="32"/>
      <c r="G136" s="31"/>
      <c r="H136" s="6"/>
      <c r="I136" s="21"/>
      <c r="J136" s="59"/>
      <c r="K136" s="19"/>
      <c r="L136" s="22"/>
      <c r="M136" s="22"/>
    </row>
    <row r="137" spans="1:13" x14ac:dyDescent="0.2">
      <c r="A137" s="35"/>
      <c r="B137" s="6"/>
      <c r="C137" s="19"/>
      <c r="D137" s="14"/>
      <c r="E137" s="32"/>
      <c r="F137" s="32"/>
      <c r="G137" s="31"/>
      <c r="H137" s="6"/>
      <c r="I137" s="21"/>
      <c r="J137" s="59"/>
      <c r="K137" s="19"/>
      <c r="L137" s="22"/>
      <c r="M137" s="22"/>
    </row>
    <row r="138" spans="1:13" x14ac:dyDescent="0.2">
      <c r="A138" s="35"/>
      <c r="B138" s="6"/>
      <c r="C138" s="19"/>
      <c r="D138" s="14"/>
      <c r="E138" s="32"/>
      <c r="F138" s="32"/>
      <c r="G138" s="31"/>
      <c r="H138" s="6"/>
      <c r="I138" s="21"/>
      <c r="J138" s="59"/>
      <c r="K138" s="19"/>
      <c r="L138" s="22"/>
      <c r="M138" s="22"/>
    </row>
    <row r="139" spans="1:13" x14ac:dyDescent="0.2">
      <c r="A139" s="35"/>
      <c r="B139" s="6"/>
      <c r="C139" s="19"/>
      <c r="D139" s="14"/>
      <c r="E139" s="32"/>
      <c r="F139" s="32"/>
      <c r="G139" s="31"/>
      <c r="H139" s="6"/>
      <c r="I139" s="21"/>
      <c r="J139" s="59"/>
      <c r="K139" s="19"/>
      <c r="L139" s="22"/>
      <c r="M139" s="22"/>
    </row>
  </sheetData>
  <mergeCells count="3">
    <mergeCell ref="G1:G2"/>
    <mergeCell ref="A11:M11"/>
    <mergeCell ref="A13:K13"/>
  </mergeCells>
  <phoneticPr fontId="1" type="noConversion"/>
  <conditionalFormatting sqref="K12:K13">
    <cfRule type="dataBar" priority="1">
      <dataBar>
        <cfvo type="num" val="0"/>
        <cfvo type="num" val="1"/>
        <color theme="5"/>
      </dataBar>
      <extLst>
        <ext xmlns:x14="http://schemas.microsoft.com/office/spreadsheetml/2009/9/main" uri="{B025F937-C7B1-47D3-B67F-A62EFF666E3E}">
          <x14:id>{A1C92ADA-DB19-AA48-96CB-94A325B14E9C}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1C92ADA-DB19-AA48-96CB-94A325B14E9C}">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K12:K13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4B9A674-1E58-B449-B7B6-485C4E77BB6A}">
          <x14:formula1>
            <xm:f>Dropdowns!$K$2:$K$6</xm:f>
          </x14:formula1>
          <xm:sqref>J36:J139 J4:J8 J10 J14:J34</xm:sqref>
        </x14:dataValidation>
        <x14:dataValidation type="list" allowBlank="1" showInputMessage="1" showErrorMessage="1" xr:uid="{E7991C41-B192-8A4A-9084-9D92C9ABD52B}">
          <x14:formula1>
            <xm:f>Dropdowns!$C$2:$C$8</xm:f>
          </x14:formula1>
          <xm:sqref>B4:B8 B10 B14:B139</xm:sqref>
        </x14:dataValidation>
        <x14:dataValidation type="list" allowBlank="1" showInputMessage="1" showErrorMessage="1" xr:uid="{F4FE883D-9BBD-AE4F-8813-27BD6021137A}">
          <x14:formula1>
            <xm:f>Dropdowns!$I$2:$I$15</xm:f>
          </x14:formula1>
          <xm:sqref>H4:H8 H10 H14:H139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1 6 0 5 . 1 0 7 5 ] ] > < / 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 C o l u m n s \ C a t e g o r i e s   ( I t e m ) < / K e y > < / a : K e y > < a : V a l u e   i : t y p e = " T a b l e W i d g e t B a s e V i e w S t a t e " / > < / a : K e y V a l u e O f D i a g r a m O b j e c t K e y a n y T y p e z b w N T n L X > < a : K e y V a l u e O f D i a g r a m O b j e c t K e y a n y T y p e z b w N T n L X > < a : K e y > < K e y > C o l u m n s \ A c t i v i t i e s   -   D e s c r i p t i o n s < / K e y > < / a : K e y > < a : V a l u e   i : t y p e = " T a b l e W i d g e t B a s e V i e w S t a t e " / > < / a : K e y V a l u e O f D i a g r a m O b j e c t K e y a n y T y p e z b w N T n L X > < a : K e y V a l u e O f D i a g r a m O b j e c t K e y a n y T y p e z b w N T n L X > < a : K e y > < K e y > C o l u m n s \ J E T   I P   b u d g e t   ( Z A R   b n ) < / K e y > < / a : K e y > < a : V a l u e   i : t y p e = " T a b l e W i d g e t B a s e V i e w S t a t e " / > < / a : K e y V a l u e O f D i a g r a m O b j e c t K e y a n y T y p e z b w N T n L X > < a : K e y V a l u e O f D i a g r a m O b j e c t K e y a n y T y p e z b w N T n L X > < a : K e y > < K e y > C o l u m n s \ I m p l e m e n t i n g   i n s t i t u t i o n < / K e y > < / a : K e y > < a : V a l u e   i : t y p e = " T a b l e W i d g e t B a s e V i e w S t a t e " / > < / a : K e y V a l u e O f D i a g r a m O b j e c t K e y a n y T y p e z b w N T n L X > < a : K e y V a l u e O f D i a g r a m O b j e c t K e y a n y T y p e z b w N T n L X > < a : K e y > < K e y > C o l u m n s \ F u n d e r   # < / K e y > < / a : K e y > < a : V a l u e   i : t y p e = " T a b l e W i d g e t B a s e V i e w S t a t e " / > < / a : K e y V a l u e O f D i a g r a m O b j e c t K e y a n y T y p e z b w N T n L X > < a : K e y V a l u e O f D i a g r a m O b j e c t K e y a n y T y p e z b w N T n L X > < a : K e y > < K e y > C o l u m n s \ F u n d e r < / K e y > < / a : K e y > < a : V a l u e   i : t y p e = " T a b l e W i d g e t B a s e V i e w S t a t e " / > < / a : K e y V a l u e O f D i a g r a m O b j e c t K e y a n y T y p e z b w N T n L X > < a : K e y V a l u e O f D i a g r a m O b j e c t K e y a n y T y p e z b w N T n L X > < a : K e y > < K e y > C o l u m n s \ F u n d i n g   i n s t r u m e n t / s < / K e y > < / a : K e y > < a : V a l u e   i : t y p e = " T a b l e W i d g e t B a s e V i e w S t a t e " / > < / a : K e y V a l u e O f D i a g r a m O b j e c t K e y a n y T y p e z b w N T n L X > < a : K e y V a l u e O f D i a g r a m O b j e c t K e y a n y T y p e z b w N T n L X > < a : K e y > < K e y > C o l u m n s \ U S $   ( M i l l i o n ) < / K e y > < / a : K e y > < a : V a l u e   i : t y p e = " T a b l e W i d g e t B a s e V i e w S t a t e " / > < / a : K e y V a l u e O f D i a g r a m O b j e c t K e y a n y T y p e z b w N T n L X > < a : K e y V a l u e O f D i a g r a m O b j e c t K e y a n y T y p e z b w N T n L X > < a : K e y > < K e y > C o l u m n s \ E U R     ( m ) < / K e y > < / a : K e y > < a : V a l u e   i : t y p e = " T a b l e W i d g e t B a s e V i e w S t a t e " / > < / a : K e y V a l u e O f D i a g r a m O b j e c t K e y a n y T y p e z b w N T n L X > < a : K e y V a l u e O f D i a g r a m O b j e c t K e y a n y T y p e z b w N T n L X > < a : K e y > < K e y > C o l u m n s \ Z A R   m   ( 1 7 : 1 ) < / K e y > < / a : K e y > < a : V a l u e   i : t y p e = " T a b l e W i d g e t B a s e V i e w S t a t e " / > < / a : K e y V a l u e O f D i a g r a m O b j e c t K e y a n y T y p e z b w N T n L X > < a : K e y V a l u e O f D i a g r a m O b j e c t K e y a n y T y p e z b w N T n L X > < a : K e y > < K e y > C o l u m n s \ Z A R   m   ( 2 0 : 1 ) < / K e y > < / a : K e y > < a : V a l u e   i : t y p e = " T a b l e W i d g e t B a s e V i e w S t a t e " / > < / a : K e y V a l u e O f D i a g r a m O b j e c t K e y a n y T y p e z b w N T n L X > < a : K e y V a l u e O f D i a g r a m O b j e c t K e y a n y T y p e z b w N T n L X > < a : K e y > < K e y > C o l u m n s \ T o t a l   Z A R < / K e y > < / a : K e y > < a : V a l u e   i : t y p e = " T a b l e W i d g e t B a s e V i e w S t a t e " / > < / a : K e y V a l u e O f D i a g r a m O b j e c t K e y a n y T y p e z b w N T n L X > < a : K e y V a l u e O f D i a g r a m O b j e c t K e y a n y T y p e z b w N T n L X > < a : K e y > < K e y > C o l u m n s \ D u r a t i o n   ( d a t e s ) :   P r o j e c t   p r e p ,   S t a r t ,   E n d < / K e y > < / a : K e y > < a : V a l u e   i : t y p e = " T a b l e W i d g e t B a s e V i e w S t a t e " / > < / a : K e y V a l u e O f D i a g r a m O b j e c t K e y a n y T y p e z b w N T n L X > < a : K e y V a l u e O f D i a g r a m O b j e c t K e y a n y T y p e z b w N T n L X > < a : K e y > < K e y > C o l u m n s \ I P G < / K e y > < / a : K e y > < a : V a l u e   i : t y p e = " T a b l e W i d g e t B a s e V i e w S t a t e " / > < / a : K e y V a l u e O f D i a g r a m O b j e c t K e y a n y T y p e z b w N T n L X > < a : K e y V a l u e O f D i a g r a m O b j e c t K e y a n y T y p e z b w N T n L X > < a : K e y > < K e y > C o l u m n s \ P a r t i e s   t o   t h e   f u n d i n g   a g r e e m e n t / s < / K e y > < / a : K e y > < a : V a l u e   i : t y p e = " T a b l e W i d g e t B a s e V i e w S t a t e " / > < / a : K e y V a l u e O f D i a g r a m O b j e c t K e y a n y T y p e z b w N T n L X > < a : K e y V a l u e O f D i a g r a m O b j e c t K e y a n y T y p e z b w N T n L X > < a : K e y > < K e y > C o l u m n s \ O t h e r   k e y   b e n e f i c i a r i e s < / K e y > < / a : K e y > < a : V a l u e   i : t y p e = " T a b l e W i d g e t B a s e V i e w S t a t e " / > < / a : K e y V a l u e O f D i a g r a m O b j e c t K e y a n y T y p e z b w N T n L X > < a : K e y V a l u e O f D i a g r a m O b j e c t K e y a n y T y p e z b w N T n L X > < a : K e y > < K e y > C o l u m n s \ K e y   t e r m s   a n d   c o n d i t i o n s < / K e y > < / a : K e y > < a : V a l u e   i : t y p e = " T a b l e W i d g e t B a s e V i e w S t a t e " / > < / a : K e y V a l u e O f D i a g r a m O b j e c t K e y a n y T y p e z b w N T n L X > < a : K e y V a l u e O f D i a g r a m O b j e c t K e y a n y T y p e z b w N T n L X > < a : K e y > < K e y > C o l u m n s \ D i s b u r s e m e n t s     s t a t u s < / K e y > < / a : K e y > < a : V a l u e   i : t y p e = " T a b l e W i d g e t B a s e V i e w S t a t e " / > < / a : K e y V a l u e O f D i a g r a m O b j e c t K e y a n y T y p e z b w N T n L X > < a : K e y V a l u e O f D i a g r a m O b j e c t K e y a n y T y p e z b w N T n L X > < a : K e y > < K e y > C o l u m n s \ D e s c r i p t i o n s < / K e y > < / a : K e y > < a : V a l u e   i : t y p e = " T a b l e W i d g e t B a s e V i e w S t a t e " / > < / a : K e y V a l u e O f D i a g r a m O b j e c t K e y a n y T y p e z b w N T n L X > < a : K e y V a l u e O f D i a g r a m O b j e c t K e y a n y T y p e z b w N T n L X > < a : K e y > < K e y > C o l u m n s \ F u n d i n g   g a p   a n a l y s i s < / K e y > < / a : K e y > < a : V a l u e   i : t y p e = " T a b l e W i d g e t B a s e V i e w S t a t e " / > < / a : K e y V a l u e O f D i a g r a m O b j e c t K e y a n y T y p e z b w N T n L X > < a : K e y V a l u e O f D i a g r a m O b j e c t K e y a n y T y p e z b w N T n L X > < a : K e y > < K e y > C o l u m n s \ F u n d e r / s   c o n t a c t s   ( n a m e ,   e m a i l ,   m o b i l e ) < / K e y > < / a : K e y > < a : V a l u e   i : t y p e = " T a b l e W i d g e t B a s e V i e w S t a t e " / > < / a : K e y V a l u e O f D i a g r a m O b j e c t K e y a n y T y p e z b w N T n L X > < a : K e y V a l u e O f D i a g r a m O b j e c t K e y a n y T y p e z b w N T n L X > < a : K e y > < K e y > C o l u m n s \ S A   c o n t a c t s   ( i n s t i t u t i o n ,   n a m e ,   e m a i l ,   m o b i l e ) 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 T o t a l   Z A R < / K e y > < / D i a g r a m O b j e c t K e y > < D i a g r a m O b j e c t K e y > < K e y > M e a s u r e s \ S u m   o f   T o t a l   Z A R \ T a g I n f o \ F o r m u l a < / K e y > < / D i a g r a m O b j e c t K e y > < D i a g r a m O b j e c t K e y > < K e y > M e a s u r e s \ S u m   o f   T o t a l   Z A R \ T a g I n f o \ V a l u e < / K e y > < / D i a g r a m O b j e c t K e y > < D i a g r a m O b j e c t K e y > < K e y > M e a s u r e s \ C o u n t   o f   P a r t i e s   t o   t h e   f u n d i n g   a g r e e m e n t / s < / K e y > < / D i a g r a m O b j e c t K e y > < D i a g r a m O b j e c t K e y > < K e y > M e a s u r e s \ C o u n t   o f   P a r t i e s   t o   t h e   f u n d i n g   a g r e e m e n t / s \ T a g I n f o \ F o r m u l a < / K e y > < / D i a g r a m O b j e c t K e y > < D i a g r a m O b j e c t K e y > < K e y > M e a s u r e s \ C o u n t   o f   P a r t i e s   t o   t h e   f u n d i n g   a g r e e m e n t / s \ T a g I n f o \ V a l u e < / K e y > < / D i a g r a m O b j e c t K e y > < D i a g r a m O b j e c t K e y > < K e y > M e a s u r e s \ C o u n t   o f   T o t a l   Z A R < / K e y > < / D i a g r a m O b j e c t K e y > < D i a g r a m O b j e c t K e y > < K e y > M e a s u r e s \ C o u n t   o f   T o t a l   Z A R \ T a g I n f o \ F o r m u l a < / K e y > < / D i a g r a m O b j e c t K e y > < D i a g r a m O b j e c t K e y > < K e y > M e a s u r e s \ C o u n t   o f   T o t a l   Z A R \ T a g I n f o \ V a l u e < / K e y > < / D i a g r a m O b j e c t K e y > < D i a g r a m O b j e c t K e y > < K e y > C o l u m n s \ S e c t o r < / K e y > < / D i a g r a m O b j e c t K e y > < D i a g r a m O b j e c t K e y > < K e y > C o l u m n s \ C a t e g o r i e s   ( I t e m ) < / K e y > < / D i a g r a m O b j e c t K e y > < D i a g r a m O b j e c t K e y > < K e y > C o l u m n s \ A c t i v i t i e s   -   D e s c r i p t i o n s < / K e y > < / D i a g r a m O b j e c t K e y > < D i a g r a m O b j e c t K e y > < K e y > C o l u m n s \ J E T   I P   b u d g e t   ( Z A R   b n ) < / K e y > < / D i a g r a m O b j e c t K e y > < D i a g r a m O b j e c t K e y > < K e y > C o l u m n s \ I m p l e m e n t i n g   i n s t i t u t i o n < / K e y > < / D i a g r a m O b j e c t K e y > < D i a g r a m O b j e c t K e y > < K e y > C o l u m n s \ F u n d e r   # < / K e y > < / D i a g r a m O b j e c t K e y > < D i a g r a m O b j e c t K e y > < K e y > C o l u m n s \ F u n d e r < / K e y > < / D i a g r a m O b j e c t K e y > < D i a g r a m O b j e c t K e y > < K e y > C o l u m n s \ F u n d i n g   i n s t r u m e n t / s < / K e y > < / D i a g r a m O b j e c t K e y > < D i a g r a m O b j e c t K e y > < K e y > C o l u m n s \ U S $   ( M i l l i o n ) < / K e y > < / D i a g r a m O b j e c t K e y > < D i a g r a m O b j e c t K e y > < K e y > C o l u m n s \ E U R     ( m ) < / K e y > < / D i a g r a m O b j e c t K e y > < D i a g r a m O b j e c t K e y > < K e y > C o l u m n s \ Z A R   m   ( 1 7 : 1 ) < / K e y > < / D i a g r a m O b j e c t K e y > < D i a g r a m O b j e c t K e y > < K e y > C o l u m n s \ Z A R   m   ( 2 0 : 1 ) < / K e y > < / D i a g r a m O b j e c t K e y > < D i a g r a m O b j e c t K e y > < K e y > C o l u m n s \ T o t a l   Z A R < / K e y > < / D i a g r a m O b j e c t K e y > < D i a g r a m O b j e c t K e y > < K e y > C o l u m n s \ D u r a t i o n   ( d a t e s ) :   P r o j e c t   p r e p ,   S t a r t ,   E n d < / K e y > < / D i a g r a m O b j e c t K e y > < D i a g r a m O b j e c t K e y > < K e y > C o l u m n s \ I P G < / K e y > < / D i a g r a m O b j e c t K e y > < D i a g r a m O b j e c t K e y > < K e y > C o l u m n s \ P a r t i e s   t o   t h e   f u n d i n g   a g r e e m e n t / s < / K e y > < / D i a g r a m O b j e c t K e y > < D i a g r a m O b j e c t K e y > < K e y > C o l u m n s \ O t h e r   k e y   b e n e f i c i a r i e s < / K e y > < / D i a g r a m O b j e c t K e y > < D i a g r a m O b j e c t K e y > < K e y > C o l u m n s \ K e y   t e r m s   a n d   c o n d i t i o n s < / K e y > < / D i a g r a m O b j e c t K e y > < D i a g r a m O b j e c t K e y > < K e y > C o l u m n s \ D i s b u r s e m e n t s     s t a t u s < / K e y > < / D i a g r a m O b j e c t K e y > < D i a g r a m O b j e c t K e y > < K e y > C o l u m n s \ D e s c r i p t i o n s < / K e y > < / D i a g r a m O b j e c t K e y > < D i a g r a m O b j e c t K e y > < K e y > C o l u m n s \ F u n d i n g   g a p   a n a l y s i s < / K e y > < / D i a g r a m O b j e c t K e y > < D i a g r a m O b j e c t K e y > < K e y > C o l u m n s \ F u n d e r / s   c o n t a c t s   ( n a m e ,   e m a i l ,   m o b i l e ) < / K e y > < / D i a g r a m O b j e c t K e y > < D i a g r a m O b j e c t K e y > < K e y > C o l u m n s \ S A   c o n t a c t s   ( i n s t i t u t i o n ,   n a m e ,   e m a i l ,   m o b i l e ) < / K e y > < / D i a g r a m O b j e c t K e y > < D i a g r a m O b j e c t K e y > < K e y > M e a s u r e s \ M e a s u r e   1 < / K e y > < / D i a g r a m O b j e c t K e y > < D i a g r a m O b j e c t K e y > < K e y > M e a s u r e s \ M e a s u r e   1 \ T a g I n f o \ F o r m u l a < / K e y > < / D i a g r a m O b j e c t K e y > < D i a g r a m O b j e c t K e y > < K e y > M e a s u r e s \ M e a s u r e   1 \ T a g I n f o \ V a l u e < / K e y > < / D i a g r a m O b j e c t K e y > < D i a g r a m O b j e c t K e y > < K e y > L i n k s \ & l t ; C o l u m n s \ S u m   o f   T o t a l   Z A R & g t ; - & l t ; M e a s u r e s \ T o t a l   Z A R & g t ; < / K e y > < / D i a g r a m O b j e c t K e y > < D i a g r a m O b j e c t K e y > < K e y > L i n k s \ & l t ; C o l u m n s \ S u m   o f   T o t a l   Z A R & g t ; - & l t ; M e a s u r e s \ T o t a l   Z A R & g t ; \ C O L U M N < / K e y > < / D i a g r a m O b j e c t K e y > < D i a g r a m O b j e c t K e y > < K e y > L i n k s \ & l t ; C o l u m n s \ S u m   o f   T o t a l   Z A R & g t ; - & l t ; M e a s u r e s \ T o t a l   Z A R & g t ; \ M E A S U R E < / K e y > < / D i a g r a m O b j e c t K e y > < D i a g r a m O b j e c t K e y > < K e y > L i n k s \ & l t ; C o l u m n s \ C o u n t   o f   P a r t i e s   t o   t h e   f u n d i n g   a g r e e m e n t / s & g t ; - & l t ; M e a s u r e s \ P a r t i e s   t o   t h e   f u n d i n g   a g r e e m e n t / s & g t ; < / K e y > < / D i a g r a m O b j e c t K e y > < D i a g r a m O b j e c t K e y > < K e y > L i n k s \ & l t ; C o l u m n s \ C o u n t   o f   P a r t i e s   t o   t h e   f u n d i n g   a g r e e m e n t / s & g t ; - & l t ; M e a s u r e s \ P a r t i e s   t o   t h e   f u n d i n g   a g r e e m e n t / s & g t ; \ C O L U M N < / K e y > < / D i a g r a m O b j e c t K e y > < D i a g r a m O b j e c t K e y > < K e y > L i n k s \ & l t ; C o l u m n s \ C o u n t   o f   P a r t i e s   t o   t h e   f u n d i n g   a g r e e m e n t / s & g t ; - & l t ; M e a s u r e s \ P a r t i e s   t o   t h e   f u n d i n g   a g r e e m e n t / s & g t ; \ M E A S U R E < / K e y > < / D i a g r a m O b j e c t K e y > < D i a g r a m O b j e c t K e y > < K e y > L i n k s \ & l t ; C o l u m n s \ C o u n t   o f   T o t a l   Z A R & g t ; - & l t ; M e a s u r e s \ T o t a l   Z A R & g t ; < / K e y > < / D i a g r a m O b j e c t K e y > < D i a g r a m O b j e c t K e y > < K e y > L i n k s \ & l t ; C o l u m n s \ C o u n t   o f   T o t a l   Z A R & g t ; - & l t ; M e a s u r e s \ T o t a l   Z A R & g t ; \ C O L U M N < / K e y > < / D i a g r a m O b j e c t K e y > < D i a g r a m O b j e c t K e y > < K e y > L i n k s \ & l t ; C o l u m n s \ C o u n t   o f   T o t a l   Z A R & g t ; - & l t ; M e a s u r e s \ T o t a l   Z A R & g t ; \ M E A S U R E 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 1 2 < / F o c u s C o l u m n > < S e l e c t i o n E n d C o l u m n > 1 2 < / S e l e c t i o n E n d C o l u m n > < S e l e c t i o n S t a r t C o l u m n > 1 2 < / S e l e c t i o n S t a r t C o l u m n > < 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 T o t a l   Z A R < / K e y > < / a : K e y > < a : V a l u e   i : t y p e = " M e a s u r e G r i d N o d e V i e w S t a t e " > < C o l u m n > 1 2 < / C o l u m n > < L a y e d O u t > t r u e < / L a y e d O u t > < W a s U I I n v i s i b l e > t r u e < / W a s U I I n v i s i b l e > < / a : V a l u e > < / a : K e y V a l u e O f D i a g r a m O b j e c t K e y a n y T y p e z b w N T n L X > < a : K e y V a l u e O f D i a g r a m O b j e c t K e y a n y T y p e z b w N T n L X > < a : K e y > < K e y > M e a s u r e s \ S u m   o f   T o t a l   Z A R \ T a g I n f o \ F o r m u l a < / K e y > < / a : K e y > < a : V a l u e   i : t y p e = " M e a s u r e G r i d V i e w S t a t e I D i a g r a m T a g A d d i t i o n a l I n f o " / > < / a : K e y V a l u e O f D i a g r a m O b j e c t K e y a n y T y p e z b w N T n L X > < a : K e y V a l u e O f D i a g r a m O b j e c t K e y a n y T y p e z b w N T n L X > < a : K e y > < K e y > M e a s u r e s \ S u m   o f   T o t a l   Z A R \ T a g I n f o \ V a l u e < / K e y > < / a : K e y > < a : V a l u e   i : t y p e = " M e a s u r e G r i d V i e w S t a t e I D i a g r a m T a g A d d i t i o n a l I n f o " / > < / a : K e y V a l u e O f D i a g r a m O b j e c t K e y a n y T y p e z b w N T n L X > < a : K e y V a l u e O f D i a g r a m O b j e c t K e y a n y T y p e z b w N T n L X > < a : K e y > < K e y > M e a s u r e s \ C o u n t   o f   P a r t i e s   t o   t h e   f u n d i n g   a g r e e m e n t / s < / K e y > < / a : K e y > < a : V a l u e   i : t y p e = " M e a s u r e G r i d N o d e V i e w S t a t e " > < C o l u m n > 1 5 < / C o l u m n > < L a y e d O u t > t r u e < / L a y e d O u t > < W a s U I I n v i s i b l e > t r u e < / W a s U I I n v i s i b l e > < / a : V a l u e > < / a : K e y V a l u e O f D i a g r a m O b j e c t K e y a n y T y p e z b w N T n L X > < a : K e y V a l u e O f D i a g r a m O b j e c t K e y a n y T y p e z b w N T n L X > < a : K e y > < K e y > M e a s u r e s \ C o u n t   o f   P a r t i e s   t o   t h e   f u n d i n g   a g r e e m e n t / s \ T a g I n f o \ F o r m u l a < / K e y > < / a : K e y > < a : V a l u e   i : t y p e = " M e a s u r e G r i d V i e w S t a t e I D i a g r a m T a g A d d i t i o n a l I n f o " / > < / a : K e y V a l u e O f D i a g r a m O b j e c t K e y a n y T y p e z b w N T n L X > < a : K e y V a l u e O f D i a g r a m O b j e c t K e y a n y T y p e z b w N T n L X > < a : K e y > < K e y > M e a s u r e s \ C o u n t   o f   P a r t i e s   t o   t h e   f u n d i n g   a g r e e m e n t / s \ T a g I n f o \ V a l u e < / K e y > < / a : K e y > < a : V a l u e   i : t y p e = " M e a s u r e G r i d V i e w S t a t e I D i a g r a m T a g A d d i t i o n a l I n f o " / > < / a : K e y V a l u e O f D i a g r a m O b j e c t K e y a n y T y p e z b w N T n L X > < a : K e y V a l u e O f D i a g r a m O b j e c t K e y a n y T y p e z b w N T n L X > < a : K e y > < K e y > M e a s u r e s \ C o u n t   o f   T o t a l   Z A R < / K e y > < / a : K e y > < a : V a l u e   i : t y p e = " M e a s u r e G r i d N o d e V i e w S t a t e " > < C o l u m n > 1 2 < / C o l u m n > < L a y e d O u t > t r u e < / L a y e d O u t > < R o w > 1 < / R o w > < W a s U I I n v i s i b l e > t r u e < / W a s U I I n v i s i b l e > < / a : V a l u e > < / a : K e y V a l u e O f D i a g r a m O b j e c t K e y a n y T y p e z b w N T n L X > < a : K e y V a l u e O f D i a g r a m O b j e c t K e y a n y T y p e z b w N T n L X > < a : K e y > < K e y > M e a s u r e s \ C o u n t   o f   T o t a l   Z A R \ T a g I n f o \ F o r m u l a < / K e y > < / a : K e y > < a : V a l u e   i : t y p e = " M e a s u r e G r i d V i e w S t a t e I D i a g r a m T a g A d d i t i o n a l I n f o " / > < / a : K e y V a l u e O f D i a g r a m O b j e c t K e y a n y T y p e z b w N T n L X > < a : K e y V a l u e O f D i a g r a m O b j e c t K e y a n y T y p e z b w N T n L X > < a : K e y > < K e y > M e a s u r e s \ C o u n t   o f   T o t a l   Z A R \ T a g I n f o \ V a l u e < / K e y > < / a : K e y > < a : V a l u e   i : t y p e = " M e a s u r e G r i d V i e w S t a t e I D i a g r a m T a g A d d i t i o n a l I n f o " / > < / a : K e y V a l u e O f D i a g r a m O b j e c t K e y a n y T y p e z b w N T n L X > < a : K e y V a l u e O f D i a g r a m O b j e c t K e y a n y T y p e z b w N T n L X > < a : K e y > < K e y > C o l u m n s \ S e c t o r < / K e y > < / a : K e y > < a : V a l u e   i : t y p e = " M e a s u r e G r i d N o d e V i e w S t a t e " > < L a y e d O u t > t r u e < / L a y e d O u t > < / a : V a l u e > < / a : K e y V a l u e O f D i a g r a m O b j e c t K e y a n y T y p e z b w N T n L X > < a : K e y V a l u e O f D i a g r a m O b j e c t K e y a n y T y p e z b w N T n L X > < a : K e y > < K e y > C o l u m n s \ C a t e g o r i e s   ( I t e m ) < / K e y > < / a : K e y > < a : V a l u e   i : t y p e = " M e a s u r e G r i d N o d e V i e w S t a t e " > < C o l u m n > 1 < / C o l u m n > < L a y e d O u t > t r u e < / L a y e d O u t > < / a : V a l u e > < / a : K e y V a l u e O f D i a g r a m O b j e c t K e y a n y T y p e z b w N T n L X > < a : K e y V a l u e O f D i a g r a m O b j e c t K e y a n y T y p e z b w N T n L X > < a : K e y > < K e y > C o l u m n s \ A c t i v i t i e s   -   D e s c r i p t i o n s < / K e y > < / a : K e y > < a : V a l u e   i : t y p e = " M e a s u r e G r i d N o d e V i e w S t a t e " > < C o l u m n > 2 < / C o l u m n > < L a y e d O u t > t r u e < / L a y e d O u t > < / a : V a l u e > < / a : K e y V a l u e O f D i a g r a m O b j e c t K e y a n y T y p e z b w N T n L X > < a : K e y V a l u e O f D i a g r a m O b j e c t K e y a n y T y p e z b w N T n L X > < a : K e y > < K e y > C o l u m n s \ J E T   I P   b u d g e t   ( Z A R   b n ) < / K e y > < / a : K e y > < a : V a l u e   i : t y p e = " M e a s u r e G r i d N o d e V i e w S t a t e " > < C o l u m n > 3 < / C o l u m n > < L a y e d O u t > t r u e < / L a y e d O u t > < / a : V a l u e > < / a : K e y V a l u e O f D i a g r a m O b j e c t K e y a n y T y p e z b w N T n L X > < a : K e y V a l u e O f D i a g r a m O b j e c t K e y a n y T y p e z b w N T n L X > < a : K e y > < K e y > C o l u m n s \ I m p l e m e n t i n g   i n s t i t u t i o n < / K e y > < / a : K e y > < a : V a l u e   i : t y p e = " M e a s u r e G r i d N o d e V i e w S t a t e " > < C o l u m n > 4 < / C o l u m n > < L a y e d O u t > t r u e < / L a y e d O u t > < / a : V a l u e > < / a : K e y V a l u e O f D i a g r a m O b j e c t K e y a n y T y p e z b w N T n L X > < a : K e y V a l u e O f D i a g r a m O b j e c t K e y a n y T y p e z b w N T n L X > < a : K e y > < K e y > C o l u m n s \ F u n d e r   # < / K e y > < / a : K e y > < a : V a l u e   i : t y p e = " M e a s u r e G r i d N o d e V i e w S t a t e " > < C o l u m n > 5 < / C o l u m n > < L a y e d O u t > t r u e < / L a y e d O u t > < / a : V a l u e > < / a : K e y V a l u e O f D i a g r a m O b j e c t K e y a n y T y p e z b w N T n L X > < a : K e y V a l u e O f D i a g r a m O b j e c t K e y a n y T y p e z b w N T n L X > < a : K e y > < K e y > C o l u m n s \ F u n d e r < / K e y > < / a : K e y > < a : V a l u e   i : t y p e = " M e a s u r e G r i d N o d e V i e w S t a t e " > < C o l u m n > 6 < / C o l u m n > < L a y e d O u t > t r u e < / L a y e d O u t > < / a : V a l u e > < / a : K e y V a l u e O f D i a g r a m O b j e c t K e y a n y T y p e z b w N T n L X > < a : K e y V a l u e O f D i a g r a m O b j e c t K e y a n y T y p e z b w N T n L X > < a : K e y > < K e y > C o l u m n s \ F u n d i n g   i n s t r u m e n t / s < / K e y > < / a : K e y > < a : V a l u e   i : t y p e = " M e a s u r e G r i d N o d e V i e w S t a t e " > < C o l u m n > 7 < / C o l u m n > < L a y e d O u t > t r u e < / L a y e d O u t > < / a : V a l u e > < / a : K e y V a l u e O f D i a g r a m O b j e c t K e y a n y T y p e z b w N T n L X > < a : K e y V a l u e O f D i a g r a m O b j e c t K e y a n y T y p e z b w N T n L X > < a : K e y > < K e y > C o l u m n s \ U S $   ( M i l l i o n ) < / K e y > < / a : K e y > < a : V a l u e   i : t y p e = " M e a s u r e G r i d N o d e V i e w S t a t e " > < C o l u m n > 8 < / C o l u m n > < L a y e d O u t > t r u e < / L a y e d O u t > < / a : V a l u e > < / a : K e y V a l u e O f D i a g r a m O b j e c t K e y a n y T y p e z b w N T n L X > < a : K e y V a l u e O f D i a g r a m O b j e c t K e y a n y T y p e z b w N T n L X > < a : K e y > < K e y > C o l u m n s \ E U R     ( m ) < / K e y > < / a : K e y > < a : V a l u e   i : t y p e = " M e a s u r e G r i d N o d e V i e w S t a t e " > < C o l u m n > 9 < / C o l u m n > < L a y e d O u t > t r u e < / L a y e d O u t > < / a : V a l u e > < / a : K e y V a l u e O f D i a g r a m O b j e c t K e y a n y T y p e z b w N T n L X > < a : K e y V a l u e O f D i a g r a m O b j e c t K e y a n y T y p e z b w N T n L X > < a : K e y > < K e y > C o l u m n s \ Z A R   m   ( 1 7 : 1 ) < / K e y > < / a : K e y > < a : V a l u e   i : t y p e = " M e a s u r e G r i d N o d e V i e w S t a t e " > < C o l u m n > 1 0 < / C o l u m n > < L a y e d O u t > t r u e < / L a y e d O u t > < / a : V a l u e > < / a : K e y V a l u e O f D i a g r a m O b j e c t K e y a n y T y p e z b w N T n L X > < a : K e y V a l u e O f D i a g r a m O b j e c t K e y a n y T y p e z b w N T n L X > < a : K e y > < K e y > C o l u m n s \ Z A R   m   ( 2 0 : 1 ) < / K e y > < / a : K e y > < a : V a l u e   i : t y p e = " M e a s u r e G r i d N o d e V i e w S t a t e " > < C o l u m n > 1 1 < / C o l u m n > < L a y e d O u t > t r u e < / L a y e d O u t > < / a : V a l u e > < / a : K e y V a l u e O f D i a g r a m O b j e c t K e y a n y T y p e z b w N T n L X > < a : K e y V a l u e O f D i a g r a m O b j e c t K e y a n y T y p e z b w N T n L X > < a : K e y > < K e y > C o l u m n s \ T o t a l   Z A R < / K e y > < / a : K e y > < a : V a l u e   i : t y p e = " M e a s u r e G r i d N o d e V i e w S t a t e " > < C o l u m n > 1 2 < / C o l u m n > < L a y e d O u t > t r u e < / L a y e d O u t > < / a : V a l u e > < / a : K e y V a l u e O f D i a g r a m O b j e c t K e y a n y T y p e z b w N T n L X > < a : K e y V a l u e O f D i a g r a m O b j e c t K e y a n y T y p e z b w N T n L X > < a : K e y > < K e y > C o l u m n s \ D u r a t i o n   ( d a t e s ) :   P r o j e c t   p r e p ,   S t a r t ,   E n d < / K e y > < / a : K e y > < a : V a l u e   i : t y p e = " M e a s u r e G r i d N o d e V i e w S t a t e " > < C o l u m n > 1 3 < / C o l u m n > < L a y e d O u t > t r u e < / L a y e d O u t > < / a : V a l u e > < / a : K e y V a l u e O f D i a g r a m O b j e c t K e y a n y T y p e z b w N T n L X > < a : K e y V a l u e O f D i a g r a m O b j e c t K e y a n y T y p e z b w N T n L X > < a : K e y > < K e y > C o l u m n s \ I P G < / K e y > < / a : K e y > < a : V a l u e   i : t y p e = " M e a s u r e G r i d N o d e V i e w S t a t e " > < C o l u m n > 1 4 < / C o l u m n > < L a y e d O u t > t r u e < / L a y e d O u t > < / a : V a l u e > < / a : K e y V a l u e O f D i a g r a m O b j e c t K e y a n y T y p e z b w N T n L X > < a : K e y V a l u e O f D i a g r a m O b j e c t K e y a n y T y p e z b w N T n L X > < a : K e y > < K e y > C o l u m n s \ P a r t i e s   t o   t h e   f u n d i n g   a g r e e m e n t / s < / K e y > < / a : K e y > < a : V a l u e   i : t y p e = " M e a s u r e G r i d N o d e V i e w S t a t e " > < C o l u m n > 1 5 < / C o l u m n > < L a y e d O u t > t r u e < / L a y e d O u t > < / a : V a l u e > < / a : K e y V a l u e O f D i a g r a m O b j e c t K e y a n y T y p e z b w N T n L X > < a : K e y V a l u e O f D i a g r a m O b j e c t K e y a n y T y p e z b w N T n L X > < a : K e y > < K e y > C o l u m n s \ O t h e r   k e y   b e n e f i c i a r i e s < / K e y > < / a : K e y > < a : V a l u e   i : t y p e = " M e a s u r e G r i d N o d e V i e w S t a t e " > < C o l u m n > 1 6 < / C o l u m n > < L a y e d O u t > t r u e < / L a y e d O u t > < / a : V a l u e > < / a : K e y V a l u e O f D i a g r a m O b j e c t K e y a n y T y p e z b w N T n L X > < a : K e y V a l u e O f D i a g r a m O b j e c t K e y a n y T y p e z b w N T n L X > < a : K e y > < K e y > C o l u m n s \ K e y   t e r m s   a n d   c o n d i t i o n s < / K e y > < / a : K e y > < a : V a l u e   i : t y p e = " M e a s u r e G r i d N o d e V i e w S t a t e " > < C o l u m n > 1 7 < / C o l u m n > < L a y e d O u t > t r u e < / L a y e d O u t > < / a : V a l u e > < / a : K e y V a l u e O f D i a g r a m O b j e c t K e y a n y T y p e z b w N T n L X > < a : K e y V a l u e O f D i a g r a m O b j e c t K e y a n y T y p e z b w N T n L X > < a : K e y > < K e y > C o l u m n s \ D i s b u r s e m e n t s     s t a t u s < / K e y > < / a : K e y > < a : V a l u e   i : t y p e = " M e a s u r e G r i d N o d e V i e w S t a t e " > < C o l u m n > 1 8 < / C o l u m n > < L a y e d O u t > t r u e < / L a y e d O u t > < / a : V a l u e > < / a : K e y V a l u e O f D i a g r a m O b j e c t K e y a n y T y p e z b w N T n L X > < a : K e y V a l u e O f D i a g r a m O b j e c t K e y a n y T y p e z b w N T n L X > < a : K e y > < K e y > C o l u m n s \ D e s c r i p t i o n s < / K e y > < / a : K e y > < a : V a l u e   i : t y p e = " M e a s u r e G r i d N o d e V i e w S t a t e " > < C o l u m n > 1 9 < / C o l u m n > < L a y e d O u t > t r u e < / L a y e d O u t > < / a : V a l u e > < / a : K e y V a l u e O f D i a g r a m O b j e c t K e y a n y T y p e z b w N T n L X > < a : K e y V a l u e O f D i a g r a m O b j e c t K e y a n y T y p e z b w N T n L X > < a : K e y > < K e y > C o l u m n s \ F u n d i n g   g a p   a n a l y s i s < / K e y > < / a : K e y > < a : V a l u e   i : t y p e = " M e a s u r e G r i d N o d e V i e w S t a t e " > < C o l u m n > 2 0 < / C o l u m n > < L a y e d O u t > t r u e < / L a y e d O u t > < / a : V a l u e > < / a : K e y V a l u e O f D i a g r a m O b j e c t K e y a n y T y p e z b w N T n L X > < a : K e y V a l u e O f D i a g r a m O b j e c t K e y a n y T y p e z b w N T n L X > < a : K e y > < K e y > C o l u m n s \ F u n d e r / s   c o n t a c t s   ( n a m e ,   e m a i l ,   m o b i l e ) < / K e y > < / a : K e y > < a : V a l u e   i : t y p e = " M e a s u r e G r i d N o d e V i e w S t a t e " > < C o l u m n > 2 1 < / C o l u m n > < L a y e d O u t > t r u e < / L a y e d O u t > < / a : V a l u e > < / a : K e y V a l u e O f D i a g r a m O b j e c t K e y a n y T y p e z b w N T n L X > < a : K e y V a l u e O f D i a g r a m O b j e c t K e y a n y T y p e z b w N T n L X > < a : K e y > < K e y > C o l u m n s \ S A   c o n t a c t s   ( i n s t i t u t i o n ,   n a m e ,   e m a i l ,   m o b i l e ) < / K e y > < / a : K e y > < a : V a l u e   i : t y p e = " M e a s u r e G r i d N o d e V i e w S t a t e " > < C o l u m n > 2 2 < / C o l u m n > < L a y e d O u t > t r u e < / L a y e d O u t > < / a : V a l u e > < / a : K e y V a l u e O f D i a g r a m O b j e c t K e y a n y T y p e z b w N T n L X > < a : K e y V a l u e O f D i a g r a m O b j e c t K e y a n y T y p e z b w N T n L X > < a : K e y > < K e y > M e a s u r e s \ M e a s u r e   1 < / K e y > < / a : K e y > < a : V a l u e   i : t y p e = " M e a s u r e G r i d N o d e V i e w S t a t e " > < C o l u m n > 1 2 < / C o l u m n > < L a y e d O u t > t r u e < / L a y e d O u t > < / a : V a l u e > < / a : K e y V a l u e O f D i a g r a m O b j e c t K e y a n y T y p e z b w N T n L X > < a : K e y V a l u e O f D i a g r a m O b j e c t K e y a n y T y p e z b w N T n L X > < a : K e y > < K e y > M e a s u r e s \ M e a s u r e   1 \ T a g I n f o \ F o r m u l a < / K e y > < / a : K e y > < a : V a l u e   i : t y p e = " M e a s u r e G r i d V i e w S t a t e I D i a g r a m T a g A d d i t i o n a l I n f o " / > < / a : K e y V a l u e O f D i a g r a m O b j e c t K e y a n y T y p e z b w N T n L X > < a : K e y V a l u e O f D i a g r a m O b j e c t K e y a n y T y p e z b w N T n L X > < a : K e y > < K e y > M e a s u r e s \ M e a s u r e   1 \ T a g I n f o \ V a l u e < / K e y > < / a : K e y > < a : V a l u e   i : t y p e = " M e a s u r e G r i d V i e w S t a t e I D i a g r a m T a g A d d i t i o n a l I n f o " / > < / a : K e y V a l u e O f D i a g r a m O b j e c t K e y a n y T y p e z b w N T n L X > < a : K e y V a l u e O f D i a g r a m O b j e c t K e y a n y T y p e z b w N T n L X > < a : K e y > < K e y > L i n k s \ & l t ; C o l u m n s \ S u m   o f   T o t a l   Z A R & g t ; - & l t ; M e a s u r e s \ T o t a l   Z A R & g t ; < / K e y > < / a : K e y > < a : V a l u e   i : t y p e = " M e a s u r e G r i d V i e w S t a t e I D i a g r a m L i n k " / > < / a : K e y V a l u e O f D i a g r a m O b j e c t K e y a n y T y p e z b w N T n L X > < a : K e y V a l u e O f D i a g r a m O b j e c t K e y a n y T y p e z b w N T n L X > < a : K e y > < K e y > L i n k s \ & l t ; C o l u m n s \ S u m   o f   T o t a l   Z A R & g t ; - & l t ; M e a s u r e s \ T o t a l   Z A R & g t ; \ C O L U M N < / K e y > < / a : K e y > < a : V a l u e   i : t y p e = " M e a s u r e G r i d V i e w S t a t e I D i a g r a m L i n k E n d p o i n t " / > < / a : K e y V a l u e O f D i a g r a m O b j e c t K e y a n y T y p e z b w N T n L X > < a : K e y V a l u e O f D i a g r a m O b j e c t K e y a n y T y p e z b w N T n L X > < a : K e y > < K e y > L i n k s \ & l t ; C o l u m n s \ S u m   o f   T o t a l   Z A R & g t ; - & l t ; M e a s u r e s \ T o t a l   Z A R & g t ; \ M E A S U R E < / K e y > < / a : K e y > < a : V a l u e   i : t y p e = " M e a s u r e G r i d V i e w S t a t e I D i a g r a m L i n k E n d p o i n t " / > < / a : K e y V a l u e O f D i a g r a m O b j e c t K e y a n y T y p e z b w N T n L X > < a : K e y V a l u e O f D i a g r a m O b j e c t K e y a n y T y p e z b w N T n L X > < a : K e y > < K e y > L i n k s \ & l t ; C o l u m n s \ C o u n t   o f   P a r t i e s   t o   t h e   f u n d i n g   a g r e e m e n t / s & g t ; - & l t ; M e a s u r e s \ P a r t i e s   t o   t h e   f u n d i n g   a g r e e m e n t / s & g t ; < / K e y > < / a : K e y > < a : V a l u e   i : t y p e = " M e a s u r e G r i d V i e w S t a t e I D i a g r a m L i n k " / > < / a : K e y V a l u e O f D i a g r a m O b j e c t K e y a n y T y p e z b w N T n L X > < a : K e y V a l u e O f D i a g r a m O b j e c t K e y a n y T y p e z b w N T n L X > < a : K e y > < K e y > L i n k s \ & l t ; C o l u m n s \ C o u n t   o f   P a r t i e s   t o   t h e   f u n d i n g   a g r e e m e n t / s & g t ; - & l t ; M e a s u r e s \ P a r t i e s   t o   t h e   f u n d i n g   a g r e e m e n t / s & g t ; \ C O L U M N < / K e y > < / a : K e y > < a : V a l u e   i : t y p e = " M e a s u r e G r i d V i e w S t a t e I D i a g r a m L i n k E n d p o i n t " / > < / a : K e y V a l u e O f D i a g r a m O b j e c t K e y a n y T y p e z b w N T n L X > < a : K e y V a l u e O f D i a g r a m O b j e c t K e y a n y T y p e z b w N T n L X > < a : K e y > < K e y > L i n k s \ & l t ; C o l u m n s \ C o u n t   o f   P a r t i e s   t o   t h e   f u n d i n g   a g r e e m e n t / s & g t ; - & l t ; M e a s u r e s \ P a r t i e s   t o   t h e   f u n d i n g   a g r e e m e n t / s & g t ; \ M E A S U R E < / K e y > < / a : K e y > < a : V a l u e   i : t y p e = " M e a s u r e G r i d V i e w S t a t e I D i a g r a m L i n k E n d p o i n t " / > < / a : K e y V a l u e O f D i a g r a m O b j e c t K e y a n y T y p e z b w N T n L X > < a : K e y V a l u e O f D i a g r a m O b j e c t K e y a n y T y p e z b w N T n L X > < a : K e y > < K e y > L i n k s \ & l t ; C o l u m n s \ C o u n t   o f   T o t a l   Z A R & g t ; - & l t ; M e a s u r e s \ T o t a l   Z A R & g t ; < / K e y > < / a : K e y > < a : V a l u e   i : t y p e = " M e a s u r e G r i d V i e w S t a t e I D i a g r a m L i n k " / > < / a : K e y V a l u e O f D i a g r a m O b j e c t K e y a n y T y p e z b w N T n L X > < a : K e y V a l u e O f D i a g r a m O b j e c t K e y a n y T y p e z b w N T n L X > < a : K e y > < K e y > L i n k s \ & l t ; C o l u m n s \ C o u n t   o f   T o t a l   Z A R & g t ; - & l t ; M e a s u r e s \ T o t a l   Z A R & g t ; \ C O L U M N < / K e y > < / a : K e y > < a : V a l u e   i : t y p e = " M e a s u r e G r i d V i e w S t a t e I D i a g r a m L i n k E n d p o i n t " / > < / a : K e y V a l u e O f D i a g r a m O b j e c t K e y a n y T y p e z b w N T n L X > < a : K e y V a l u e O f D i a g r a m O b j e c t K e y a n y T y p e z b w N T n L X > < a : K e y > < K e y > L i n k s \ & l t ; C o l u m n s \ C o u n t   o f   T o t a l   Z A R & g t ; - & l t ; M e a s u r e s \ T o t a l   Z A R & g t ; \ M E A S U R E 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M a n u a l C a l c M o d e " > < C u s t o m C o n t e n t > < ! [ C D A T A [ F a l s e ] ] > < / C u s t o m C o n t e n t > < / G e m i n i > 
</file>

<file path=customXml/item13.xml>��< ? x m l   v e r s i o n = " 1 . 0 "   e n c o d i n g = " U T F - 1 6 " ? > < G e m i n i   x m l n s = " h t t p : / / g e m i n i / p i v o t c u s t o m i z a t i o n / C l i e n t W i n d o w X M L " > < C u s t o m C o n t e n t > < ! [ C D A T A [ T a b l e 1 ] ] > < / C u s t o m C o n t e n t > < / G e m i n i > 
</file>

<file path=customXml/item14.xml>��< ? x m l   v e r s i o n = " 1 . 0 "   e n c o d i n g = " U T F - 1 6 " ? > < G e m i n i   x m l n s = " h t t p : / / g e m i n i / p i v o t c u s t o m i z a t i o n / I s S a n d b o x E m b e d d e d " > < C u s t o m C o n t e n t > < ! [ C D A T A [ y e s ] ] > < / 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I m p l i c i t M e a s u r e s " > < C u s t o m C o n t e n t > < ! [ C D A T A [ F a l s e ] ] > < / C u s t o m C o n t e n t > < / G e m i n i > 
</file>

<file path=customXml/item2.xml>��< ? x m l   v e r s i o n = " 1 . 0 "   e n c o d i n g = " U T F - 1 6 " ? > < G e m i n i   x m l n s = " h t t p : / / g e m i n i / p i v o t c u s t o m i z a t i o n / T a b l e O r d e r " > < C u s t o m C o n t e n t > < ! [ C D A T A [ T a b l e 1 ] ] > < / 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 2 0 2 3 - 0 7 - 1 3 T 1 4 : 0 6 : 5 0 . 2 1 7 6 5 1 2 + 0 2 : 0 0 < / L a s t P r o c e s s e d T i m e > < / D a t a M o d e l i n g S a n d b o x . S e r i a l i z e d S a n d b o x E r r o r C a c h 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7.xml>��< ? x m l   v e r s i o n = " 1 . 0 "   e n c o d i n g = " U T F - 1 6 " ? > < G e m i n i   x m l n s = " h t t p : / / g e m i n i / p i v o t c u s t o m i z a t i o n / S a n d b o x N o n E m p t y " > < C u s t o m C o n t e n t > < ! [ C D A T A [ 1 ] ] > < / C u s t o m C o n t e n t > < / G e m i n i > 
</file>

<file path=customXml/item8.xml>��< ? x m l   v e r s i o n = " 1 . 0 "   e n c o d i n g = " U T F - 1 6 " ? > < G e m i n i   x m l n s = " h t t p : / / g e m i n i / p i v o t c u s t o m i z a t i o n / T a b l e X M L _ T a b l e 1 " > < C u s t o m C o n t e n t > < ! [ C D A T A [ < T a b l e W i d g e t G r i d S e r i a l i z a t i o n   x m l n s : x s i = " h t t p : / / w w w . w 3 . o r g / 2 0 0 1 / X M L S c h e m a - i n s t a n c e "   x m l n s : x s d = " h t t p : / / w w w . w 3 . o r g / 2 0 0 1 / X M L S c h e m a " > < C o l u m n S u g g e s t e d T y p e   / > < C o l u m n F o r m a t   / > < C o l u m n A c c u r a c y   / > < C o l u m n C u r r e n c y S y m b o l   / > < C o l u m n P o s i t i v e P a t t e r n   / > < C o l u m n N e g a t i v e P a t t e r n   / > < C o l u m n W i d t h s > < i t e m > < k e y > < s t r i n g > S e c t o r < / s t r i n g > < / k e y > < v a l u e > < i n t > 1 0 6 < / i n t > < / v a l u e > < / i t e m > < i t e m > < k e y > < s t r i n g > C a t e g o r i e s   ( I t e m ) < / s t r i n g > < / k e y > < v a l u e > < i n t > 2 0 6 < / i n t > < / v a l u e > < / i t e m > < i t e m > < k e y > < s t r i n g > A c t i v i t i e s   -   D e s c r i p t i o n s < / s t r i n g > < / k e y > < v a l u e > < i n t > 2 6 0 < / i n t > < / v a l u e > < / i t e m > < i t e m > < k e y > < s t r i n g > J E T   I P   b u d g e t   ( Z A R   b n ) < / s t r i n g > < / k e y > < v a l u e > < i n t > 2 5 2 < / i n t > < / v a l u e > < / i t e m > < i t e m > < k e y > < s t r i n g > I m p l e m e n t i n g   i n s t i t u t i o n < / s t r i n g > < / k e y > < v a l u e > < i n t > 2 7 4 < / i n t > < / v a l u e > < / i t e m > < i t e m > < k e y > < s t r i n g > F u n d e r   # < / s t r i n g > < / k e y > < v a l u e > < i n t > 1 3 0 < / i n t > < / v a l u e > < / i t e m > < i t e m > < k e y > < s t r i n g > F u n d e r < / s t r i n g > < / k e y > < v a l u e > < i n t > 1 1 4 < / i n t > < / v a l u e > < / i t e m > < i t e m > < k e y > < s t r i n g > F u n d i n g   i n s t r u m e n t / s < / s t r i n g > < / k e y > < v a l u e > < i n t > 2 4 6 < / i n t > < / v a l u e > < / i t e m > < i t e m > < k e y > < s t r i n g > U S $   ( M i l l i o n ) < / s t r i n g > < / k e y > < v a l u e > < i n t > 1 6 6 < / i n t > < / v a l u e > < / i t e m > < i t e m > < k e y > < s t r i n g > E U R     ( m ) < / s t r i n g > < / k e y > < v a l u e > < i n t > 1 2 8 < / i n t > < / v a l u e > < / i t e m > < i t e m > < k e y > < s t r i n g > Z A R   m   ( 1 7 : 1 ) < / s t r i n g > < / k e y > < v a l u e > < i n t > 1 6 5 < / i n t > < / v a l u e > < / i t e m > < i t e m > < k e y > < s t r i n g > Z A R   m   ( 2 0 : 1 ) < / s t r i n g > < / k e y > < v a l u e > < i n t > 1 6 5 < / i n t > < / v a l u e > < / i t e m > < i t e m > < k e y > < s t r i n g > T o t a l   Z A R < / s t r i n g > < / k e y > < v a l u e > < i n t > 3 5 3 < / i n t > < / v a l u e > < / i t e m > < i t e m > < k e y > < s t r i n g > D u r a t i o n   ( d a t e s ) :   P r o j e c t   p r e p ,   S t a r t ,   E n d < / s t r i n g > < / k e y > < v a l u e > < i n t > 4 1 9 < / i n t > < / v a l u e > < / i t e m > < i t e m > < k e y > < s t r i n g > I P G < / s t r i n g > < / k e y > < v a l u e > < i n t > 8 0 < / i n t > < / v a l u e > < / i t e m > < i t e m > < k e y > < s t r i n g > P a r t i e s   t o   t h e   f u n d i n g   a g r e e m e n t / s < / s t r i n g > < / k e y > < v a l u e > < i n t > 3 6 7 < / i n t > < / v a l u e > < / i t e m > < i t e m > < k e y > < s t r i n g > O t h e r   k e y   b e n e f i c i a r i e s < / s t r i n g > < / k e y > < v a l u e > < i n t > 2 5 8 < / i n t > < / v a l u e > < / i t e m > < i t e m > < k e y > < s t r i n g > K e y   t e r m s   a n d   c o n d i t i o n s < / s t r i n g > < / k e y > < v a l u e > < i n t > 2 7 9 < / i n t > < / v a l u e > < / i t e m > < i t e m > < k e y > < s t r i n g > D i s b u r s e m e n t s     s t a t u s < / s t r i n g > < / k e y > < v a l u e > < i n t > 2 5 1 < / i n t > < / v a l u e > < / i t e m > < i t e m > < k e y > < s t r i n g > D e s c r i p t i o n s < / s t r i n g > < / k e y > < v a l u e > < i n t > 1 6 2 < / i n t > < / v a l u e > < / i t e m > < i t e m > < k e y > < s t r i n g > F u n d i n g   g a p   a n a l y s i s < / s t r i n g > < / k e y > < v a l u e > < i n t > 2 3 7 < / i n t > < / v a l u e > < / i t e m > < i t e m > < k e y > < s t r i n g > F u n d e r / s   c o n t a c t s   ( n a m e ,   e m a i l ,   m o b i l e ) < / s t r i n g > < / k e y > < v a l u e > < i n t > 4 1 7 < / i n t > < / v a l u e > < / i t e m > < i t e m > < k e y > < s t r i n g > S A   c o n t a c t s   ( i n s t i t u t i o n ,   n a m e ,   e m a i l ,   m o b i l e ) < / s t r i n g > < / k e y > < v a l u e > < i n t > 4 6 0 < / i n t > < / v a l u e > < / i t e m > < / C o l u m n W i d t h s > < C o l u m n D i s p l a y I n d e x > < i t e m > < k e y > < s t r i n g > S e c t o r < / s t r i n g > < / k e y > < v a l u e > < i n t > 0 < / i n t > < / v a l u e > < / i t e m > < i t e m > < k e y > < s t r i n g > C a t e g o r i e s   ( I t e m ) < / s t r i n g > < / k e y > < v a l u e > < i n t > 1 < / i n t > < / v a l u e > < / i t e m > < i t e m > < k e y > < s t r i n g > A c t i v i t i e s   -   D e s c r i p t i o n s < / s t r i n g > < / k e y > < v a l u e > < i n t > 2 < / i n t > < / v a l u e > < / i t e m > < i t e m > < k e y > < s t r i n g > J E T   I P   b u d g e t   ( Z A R   b n ) < / s t r i n g > < / k e y > < v a l u e > < i n t > 3 < / i n t > < / v a l u e > < / i t e m > < i t e m > < k e y > < s t r i n g > I m p l e m e n t i n g   i n s t i t u t i o n < / s t r i n g > < / k e y > < v a l u e > < i n t > 4 < / i n t > < / v a l u e > < / i t e m > < i t e m > < k e y > < s t r i n g > F u n d e r   # < / s t r i n g > < / k e y > < v a l u e > < i n t > 5 < / i n t > < / v a l u e > < / i t e m > < i t e m > < k e y > < s t r i n g > F u n d e r < / s t r i n g > < / k e y > < v a l u e > < i n t > 6 < / i n t > < / v a l u e > < / i t e m > < i t e m > < k e y > < s t r i n g > F u n d i n g   i n s t r u m e n t / s < / s t r i n g > < / k e y > < v a l u e > < i n t > 7 < / i n t > < / v a l u e > < / i t e m > < i t e m > < k e y > < s t r i n g > U S $   ( M i l l i o n ) < / s t r i n g > < / k e y > < v a l u e > < i n t > 8 < / i n t > < / v a l u e > < / i t e m > < i t e m > < k e y > < s t r i n g > E U R     ( m ) < / s t r i n g > < / k e y > < v a l u e > < i n t > 9 < / i n t > < / v a l u e > < / i t e m > < i t e m > < k e y > < s t r i n g > Z A R   m   ( 1 7 : 1 ) < / s t r i n g > < / k e y > < v a l u e > < i n t > 1 0 < / i n t > < / v a l u e > < / i t e m > < i t e m > < k e y > < s t r i n g > Z A R   m   ( 2 0 : 1 ) < / s t r i n g > < / k e y > < v a l u e > < i n t > 1 1 < / i n t > < / v a l u e > < / i t e m > < i t e m > < k e y > < s t r i n g > T o t a l   Z A R < / s t r i n g > < / k e y > < v a l u e > < i n t > 1 2 < / i n t > < / v a l u e > < / i t e m > < i t e m > < k e y > < s t r i n g > D u r a t i o n   ( d a t e s ) :   P r o j e c t   p r e p ,   S t a r t ,   E n d < / s t r i n g > < / k e y > < v a l u e > < i n t > 1 3 < / i n t > < / v a l u e > < / i t e m > < i t e m > < k e y > < s t r i n g > I P G < / s t r i n g > < / k e y > < v a l u e > < i n t > 1 4 < / i n t > < / v a l u e > < / i t e m > < i t e m > < k e y > < s t r i n g > P a r t i e s   t o   t h e   f u n d i n g   a g r e e m e n t / s < / s t r i n g > < / k e y > < v a l u e > < i n t > 1 5 < / i n t > < / v a l u e > < / i t e m > < i t e m > < k e y > < s t r i n g > O t h e r   k e y   b e n e f i c i a r i e s < / s t r i n g > < / k e y > < v a l u e > < i n t > 1 6 < / i n t > < / v a l u e > < / i t e m > < i t e m > < k e y > < s t r i n g > K e y   t e r m s   a n d   c o n d i t i o n s < / s t r i n g > < / k e y > < v a l u e > < i n t > 1 7 < / i n t > < / v a l u e > < / i t e m > < i t e m > < k e y > < s t r i n g > D i s b u r s e m e n t s     s t a t u s < / s t r i n g > < / k e y > < v a l u e > < i n t > 1 8 < / i n t > < / v a l u e > < / i t e m > < i t e m > < k e y > < s t r i n g > D e s c r i p t i o n s < / s t r i n g > < / k e y > < v a l u e > < i n t > 1 9 < / i n t > < / v a l u e > < / i t e m > < i t e m > < k e y > < s t r i n g > F u n d i n g   g a p   a n a l y s i s < / s t r i n g > < / k e y > < v a l u e > < i n t > 2 0 < / i n t > < / v a l u e > < / i t e m > < i t e m > < k e y > < s t r i n g > F u n d e r / s   c o n t a c t s   ( n a m e ,   e m a i l ,   m o b i l e ) < / s t r i n g > < / k e y > < v a l u e > < i n t > 2 1 < / i n t > < / v a l u e > < / i t e m > < i t e m > < k e y > < s t r i n g > S A   c o n t a c t s   ( i n s t i t u t i o n ,   n a m e ,   e m a i l ,   m o b i l e ) < / s t r i n g > < / k e y > < v a l u e > < i n t > 2 2 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EAAA6CCE-6E05-4098-9C7C-9A61D43FB0D5}">
  <ds:schemaRefs/>
</ds:datastoreItem>
</file>

<file path=customXml/itemProps10.xml><?xml version="1.0" encoding="utf-8"?>
<ds:datastoreItem xmlns:ds="http://schemas.openxmlformats.org/officeDocument/2006/customXml" ds:itemID="{90625675-9E27-4AB4-BB9A-865188C6A23C}">
  <ds:schemaRefs/>
</ds:datastoreItem>
</file>

<file path=customXml/itemProps11.xml><?xml version="1.0" encoding="utf-8"?>
<ds:datastoreItem xmlns:ds="http://schemas.openxmlformats.org/officeDocument/2006/customXml" ds:itemID="{3697FE7C-113C-4590-95B7-EAF49413870A}">
  <ds:schemaRefs/>
</ds:datastoreItem>
</file>

<file path=customXml/itemProps12.xml><?xml version="1.0" encoding="utf-8"?>
<ds:datastoreItem xmlns:ds="http://schemas.openxmlformats.org/officeDocument/2006/customXml" ds:itemID="{067507E6-9D35-466A-A8AD-ED0A19BFB5FE}">
  <ds:schemaRefs/>
</ds:datastoreItem>
</file>

<file path=customXml/itemProps13.xml><?xml version="1.0" encoding="utf-8"?>
<ds:datastoreItem xmlns:ds="http://schemas.openxmlformats.org/officeDocument/2006/customXml" ds:itemID="{C02A0CCF-8A71-4C73-AC9D-0A819FE219EE}">
  <ds:schemaRefs/>
</ds:datastoreItem>
</file>

<file path=customXml/itemProps14.xml><?xml version="1.0" encoding="utf-8"?>
<ds:datastoreItem xmlns:ds="http://schemas.openxmlformats.org/officeDocument/2006/customXml" ds:itemID="{B9680DA7-27D5-4727-BA74-6B0A8916A426}">
  <ds:schemaRefs/>
</ds:datastoreItem>
</file>

<file path=customXml/itemProps15.xml><?xml version="1.0" encoding="utf-8"?>
<ds:datastoreItem xmlns:ds="http://schemas.openxmlformats.org/officeDocument/2006/customXml" ds:itemID="{F8BB1848-F1E3-4766-9B7E-484CFE06BA8E}">
  <ds:schemaRefs/>
</ds:datastoreItem>
</file>

<file path=customXml/itemProps16.xml><?xml version="1.0" encoding="utf-8"?>
<ds:datastoreItem xmlns:ds="http://schemas.openxmlformats.org/officeDocument/2006/customXml" ds:itemID="{E03DAA31-3267-4D90-BE3F-6EBF6D566ED8}">
  <ds:schemaRefs/>
</ds:datastoreItem>
</file>

<file path=customXml/itemProps2.xml><?xml version="1.0" encoding="utf-8"?>
<ds:datastoreItem xmlns:ds="http://schemas.openxmlformats.org/officeDocument/2006/customXml" ds:itemID="{CC064C01-2AF0-4233-8FA7-44D53D8CA0BF}">
  <ds:schemaRefs/>
</ds:datastoreItem>
</file>

<file path=customXml/itemProps3.xml><?xml version="1.0" encoding="utf-8"?>
<ds:datastoreItem xmlns:ds="http://schemas.openxmlformats.org/officeDocument/2006/customXml" ds:itemID="{6781ABD2-B154-4475-B831-317736BFFA10}">
  <ds:schemaRefs/>
</ds:datastoreItem>
</file>

<file path=customXml/itemProps4.xml><?xml version="1.0" encoding="utf-8"?>
<ds:datastoreItem xmlns:ds="http://schemas.openxmlformats.org/officeDocument/2006/customXml" ds:itemID="{C2A00F45-4ED8-4A4D-869E-1FA60D491749}">
  <ds:schemaRefs/>
</ds:datastoreItem>
</file>

<file path=customXml/itemProps5.xml><?xml version="1.0" encoding="utf-8"?>
<ds:datastoreItem xmlns:ds="http://schemas.openxmlformats.org/officeDocument/2006/customXml" ds:itemID="{B063B170-054F-4526-9FCE-EE9B20EE1AF6}">
  <ds:schemaRefs/>
</ds:datastoreItem>
</file>

<file path=customXml/itemProps6.xml><?xml version="1.0" encoding="utf-8"?>
<ds:datastoreItem xmlns:ds="http://schemas.openxmlformats.org/officeDocument/2006/customXml" ds:itemID="{F645A1EE-1688-41E7-8DD6-207ABB7C7AB7}">
  <ds:schemaRefs/>
</ds:datastoreItem>
</file>

<file path=customXml/itemProps7.xml><?xml version="1.0" encoding="utf-8"?>
<ds:datastoreItem xmlns:ds="http://schemas.openxmlformats.org/officeDocument/2006/customXml" ds:itemID="{D4D65A11-91B2-4B64-98F5-1F8F14FD7B38}">
  <ds:schemaRefs/>
</ds:datastoreItem>
</file>

<file path=customXml/itemProps8.xml><?xml version="1.0" encoding="utf-8"?>
<ds:datastoreItem xmlns:ds="http://schemas.openxmlformats.org/officeDocument/2006/customXml" ds:itemID="{C1910145-F857-4BF8-A000-8453AAC1BFD0}">
  <ds:schemaRefs/>
</ds:datastoreItem>
</file>

<file path=customXml/itemProps9.xml><?xml version="1.0" encoding="utf-8"?>
<ds:datastoreItem xmlns:ds="http://schemas.openxmlformats.org/officeDocument/2006/customXml" ds:itemID="{4114CBB6-5D38-4224-95D4-52AF127AB5B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DataTable - Overall</vt:lpstr>
      <vt:lpstr>EU-Register</vt:lpstr>
      <vt:lpstr>UK-Register</vt:lpstr>
      <vt:lpstr>GER-Register</vt:lpstr>
      <vt:lpstr>FR-Register</vt:lpstr>
      <vt:lpstr>US-Register</vt:lpstr>
      <vt:lpstr>ACTIP-Register</vt:lpstr>
      <vt:lpstr>DK-Register</vt:lpstr>
      <vt:lpstr>NL-Register</vt:lpstr>
      <vt:lpstr>CAN-Register</vt:lpstr>
      <vt:lpstr>Swiss-Register</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Sue Lund</cp:lastModifiedBy>
  <dcterms:created xsi:type="dcterms:W3CDTF">2023-07-03T08:31:48Z</dcterms:created>
  <dcterms:modified xsi:type="dcterms:W3CDTF">2023-11-29T14:38:40Z</dcterms:modified>
</cp:coreProperties>
</file>